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jnw25l-svrfsv03.oita.local\所属フォルダ\都市計画課\②都市計画担当班\33.  駐車場関係\3.駐車施設附置条例改正関係資料\R8.4.1条例改正（法改正に伴う共同住宅の附置）\改正作業\14.ホームページ更新・周知等\（様式）★R8.4～HP更新用\"/>
    </mc:Choice>
  </mc:AlternateContent>
  <xr:revisionPtr revIDLastSave="0" documentId="13_ncr:1_{FBEC6420-C021-4621-894E-5C91217D1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商業・近商地域" sheetId="1" r:id="rId1"/>
  </sheets>
  <definedNames>
    <definedName name="_xlnm.Print_Area" localSheetId="0">商業・近商地域!$A$1:$AB$117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  <c r="N40" i="1"/>
  <c r="V39" i="1"/>
  <c r="N39" i="1"/>
  <c r="V38" i="1"/>
  <c r="N38" i="1"/>
  <c r="V37" i="1"/>
  <c r="N37" i="1"/>
  <c r="V36" i="1"/>
  <c r="N36" i="1"/>
  <c r="K14" i="1"/>
  <c r="K16" i="1" s="1"/>
  <c r="V13" i="1"/>
  <c r="J27" i="1" s="1"/>
  <c r="P13" i="1"/>
  <c r="V12" i="1"/>
  <c r="E27" i="1" s="1"/>
  <c r="P12" i="1"/>
  <c r="V11" i="1"/>
  <c r="T26" i="1" s="1"/>
  <c r="P11" i="1"/>
  <c r="V10" i="1"/>
  <c r="O26" i="1" s="1"/>
  <c r="P10" i="1"/>
  <c r="V9" i="1"/>
  <c r="J26" i="1" s="1"/>
  <c r="P9" i="1"/>
  <c r="F70" i="1" l="1"/>
  <c r="P8" i="1"/>
  <c r="V8" i="1" s="1"/>
  <c r="E26" i="1" s="1"/>
  <c r="K18" i="1"/>
  <c r="K76" i="1"/>
  <c r="P76" i="1"/>
  <c r="U76" i="1"/>
  <c r="V14" i="1" l="1"/>
  <c r="T27" i="1"/>
  <c r="V50" i="1" s="1"/>
  <c r="F76" i="1"/>
  <c r="F77" i="1" s="1"/>
  <c r="P14" i="1"/>
  <c r="K49" i="1"/>
  <c r="K48" i="1" l="1"/>
  <c r="V95" i="1"/>
  <c r="K100" i="1" s="1"/>
  <c r="M94" i="1"/>
  <c r="F102" i="1"/>
  <c r="U102" i="1" s="1"/>
  <c r="K47" i="1"/>
  <c r="M63" i="1"/>
  <c r="V48" i="1"/>
  <c r="V49" i="1"/>
  <c r="K46" i="1"/>
  <c r="V46" i="1" s="1"/>
  <c r="K50" i="1"/>
  <c r="V47" i="1"/>
  <c r="P61" i="1"/>
  <c r="T63" i="1" s="1"/>
  <c r="Z62" i="1"/>
  <c r="K68" i="1" s="1"/>
  <c r="V52" i="1"/>
  <c r="V86" i="1"/>
  <c r="K86" i="1"/>
  <c r="L96" i="1"/>
  <c r="K84" i="1"/>
  <c r="V85" i="1"/>
  <c r="K85" i="1"/>
  <c r="V84" i="1"/>
  <c r="K83" i="1"/>
  <c r="V83" i="1" s="1"/>
  <c r="K52" i="1" l="1"/>
  <c r="V87" i="1"/>
  <c r="F100" i="1" s="1"/>
  <c r="O100" i="1" s="1"/>
  <c r="F68" i="1"/>
  <c r="O68" i="1" s="1"/>
  <c r="U68" i="1" s="1"/>
  <c r="W112" i="1" s="1"/>
  <c r="F106" i="1" s="1"/>
  <c r="U70" i="1"/>
  <c r="K87" i="1"/>
  <c r="F108" i="1" l="1"/>
  <c r="U100" i="1"/>
  <c r="P108" i="1" l="1"/>
  <c r="U108" i="1"/>
  <c r="W116" i="1"/>
  <c r="W113" i="1"/>
  <c r="K106" i="1"/>
  <c r="O106" i="1" s="1"/>
  <c r="W114" i="1" l="1"/>
  <c r="U106" i="1"/>
  <c r="W117" i="1"/>
  <c r="W115" i="1" l="1"/>
</calcChain>
</file>

<file path=xl/sharedStrings.xml><?xml version="1.0" encoding="utf-8"?>
<sst xmlns="http://schemas.openxmlformats.org/spreadsheetml/2006/main" count="317" uniqueCount="171">
  <si>
    <t>附置義務駐車場の台数算定表</t>
    <rPh sb="0" eb="2">
      <t>フチ</t>
    </rPh>
    <rPh sb="2" eb="4">
      <t>ギム</t>
    </rPh>
    <rPh sb="4" eb="7">
      <t>チュウシャジョウ</t>
    </rPh>
    <rPh sb="8" eb="10">
      <t>ダイスウ</t>
    </rPh>
    <rPh sb="10" eb="12">
      <t>サンテイ</t>
    </rPh>
    <rPh sb="12" eb="13">
      <t>ヒョウ</t>
    </rPh>
    <phoneticPr fontId="2"/>
  </si>
  <si>
    <t>[ 商業地域及び近隣商業地域 ]</t>
    <rPh sb="2" eb="4">
      <t>ショウギョウ</t>
    </rPh>
    <rPh sb="4" eb="6">
      <t>チイキ</t>
    </rPh>
    <rPh sb="6" eb="7">
      <t>オヨ</t>
    </rPh>
    <rPh sb="8" eb="10">
      <t>キンリン</t>
    </rPh>
    <rPh sb="10" eb="12">
      <t>ショウギョウ</t>
    </rPh>
    <rPh sb="12" eb="14">
      <t>チイキ</t>
    </rPh>
    <phoneticPr fontId="2"/>
  </si>
  <si>
    <t>１.</t>
    <phoneticPr fontId="2"/>
  </si>
  <si>
    <t>建築物の概要</t>
    <rPh sb="0" eb="3">
      <t>ケンチクブツ</t>
    </rPh>
    <rPh sb="4" eb="6">
      <t>ガイヨウ</t>
    </rPh>
    <phoneticPr fontId="2"/>
  </si>
  <si>
    <t>（小数点第３位を四捨五入）</t>
    <phoneticPr fontId="2"/>
  </si>
  <si>
    <t>名称</t>
    <rPh sb="0" eb="2">
      <t>メイショウ</t>
    </rPh>
    <phoneticPr fontId="2"/>
  </si>
  <si>
    <t>地域地区</t>
    <phoneticPr fontId="2"/>
  </si>
  <si>
    <t>建築物の用途区分</t>
    <rPh sb="0" eb="3">
      <t>ケンチクブツ</t>
    </rPh>
    <rPh sb="4" eb="6">
      <t>ヨウト</t>
    </rPh>
    <rPh sb="6" eb="8">
      <t>クブン</t>
    </rPh>
    <phoneticPr fontId="2"/>
  </si>
  <si>
    <t>床面積</t>
    <phoneticPr fontId="2"/>
  </si>
  <si>
    <t>共用分の按分面積
(小数点第３位を
四捨五入)</t>
    <phoneticPr fontId="2"/>
  </si>
  <si>
    <t>合計面積</t>
    <phoneticPr fontId="2"/>
  </si>
  <si>
    <t>特定
用途
部分</t>
    <rPh sb="0" eb="2">
      <t>トクテイ</t>
    </rPh>
    <rPh sb="3" eb="5">
      <t>ヨウト</t>
    </rPh>
    <rPh sb="6" eb="8">
      <t>ブブン</t>
    </rPh>
    <phoneticPr fontId="2"/>
  </si>
  <si>
    <t>百貨店その他の店舗</t>
    <phoneticPr fontId="2"/>
  </si>
  <si>
    <t>㎡</t>
  </si>
  <si>
    <t>①</t>
  </si>
  <si>
    <t>事務所</t>
    <rPh sb="0" eb="2">
      <t>ジム</t>
    </rPh>
    <rPh sb="2" eb="3">
      <t>ショ</t>
    </rPh>
    <phoneticPr fontId="2"/>
  </si>
  <si>
    <t>②</t>
  </si>
  <si>
    <t>倉庫</t>
    <rPh sb="0" eb="2">
      <t>ソウコ</t>
    </rPh>
    <phoneticPr fontId="2"/>
  </si>
  <si>
    <t>③</t>
  </si>
  <si>
    <t>その他の特定用途</t>
    <rPh sb="2" eb="3">
      <t>タ</t>
    </rPh>
    <rPh sb="4" eb="6">
      <t>トクテイ</t>
    </rPh>
    <rPh sb="6" eb="8">
      <t>ヨウト</t>
    </rPh>
    <phoneticPr fontId="2"/>
  </si>
  <si>
    <t>④</t>
  </si>
  <si>
    <t>非特定
用途部分</t>
    <rPh sb="0" eb="1">
      <t>ヒ</t>
    </rPh>
    <rPh sb="1" eb="3">
      <t>トクテイ</t>
    </rPh>
    <rPh sb="4" eb="6">
      <t>ヨウト</t>
    </rPh>
    <rPh sb="6" eb="8">
      <t>ブブン</t>
    </rPh>
    <phoneticPr fontId="2"/>
  </si>
  <si>
    <t>非特定用途</t>
    <rPh sb="0" eb="1">
      <t>ヒ</t>
    </rPh>
    <rPh sb="1" eb="3">
      <t>トクテイ</t>
    </rPh>
    <rPh sb="3" eb="5">
      <t>ヨウト</t>
    </rPh>
    <phoneticPr fontId="2"/>
  </si>
  <si>
    <t>⑤</t>
  </si>
  <si>
    <t>規則第3条の部分</t>
    <rPh sb="0" eb="2">
      <t>キソク</t>
    </rPh>
    <rPh sb="2" eb="3">
      <t>ダイ</t>
    </rPh>
    <rPh sb="4" eb="5">
      <t>ジョウ</t>
    </rPh>
    <rPh sb="6" eb="8">
      <t>ブブン</t>
    </rPh>
    <phoneticPr fontId="2"/>
  </si>
  <si>
    <t>⑥</t>
  </si>
  <si>
    <t>（小　計）</t>
    <rPh sb="1" eb="2">
      <t>ショウ</t>
    </rPh>
    <rPh sb="3" eb="4">
      <t>ケイ</t>
    </rPh>
    <phoneticPr fontId="2"/>
  </si>
  <si>
    <t>共用部分</t>
    <rPh sb="0" eb="2">
      <t>キョウヨウ</t>
    </rPh>
    <rPh sb="2" eb="4">
      <t>ブブン</t>
    </rPh>
    <phoneticPr fontId="2"/>
  </si>
  <si>
    <t>駐車場部分等を除く床面積</t>
    <rPh sb="0" eb="3">
      <t>チュウシャジョウ</t>
    </rPh>
    <rPh sb="3" eb="6">
      <t>ブブンナド</t>
    </rPh>
    <rPh sb="7" eb="8">
      <t>ノゾ</t>
    </rPh>
    <rPh sb="9" eb="12">
      <t>ユカメンセキ</t>
    </rPh>
    <phoneticPr fontId="2"/>
  </si>
  <si>
    <t>⑦</t>
  </si>
  <si>
    <t>駐車場部分等の床面積</t>
    <rPh sb="0" eb="3">
      <t>チュウシャジョウ</t>
    </rPh>
    <rPh sb="3" eb="6">
      <t>ブブンナド</t>
    </rPh>
    <rPh sb="7" eb="10">
      <t>ユカメンセキ</t>
    </rPh>
    <phoneticPr fontId="2"/>
  </si>
  <si>
    <t>合　計</t>
    <rPh sb="0" eb="1">
      <t>ゴウ</t>
    </rPh>
    <rPh sb="2" eb="3">
      <t>ケイ</t>
    </rPh>
    <phoneticPr fontId="2"/>
  </si>
  <si>
    <t>※　駐車場部分等とは、自動車及び自転車の駐車のための施設の用途に供する部分であり、車路等を含みます。</t>
    <phoneticPr fontId="2"/>
  </si>
  <si>
    <t>※　共用部分とは、複合建築物等において、異なる用途において共通利用となる用途部分を言います。</t>
    <rPh sb="2" eb="4">
      <t>キョウヨウ</t>
    </rPh>
    <phoneticPr fontId="2"/>
  </si>
  <si>
    <t>　このため複合用途であっても、個々に独立している場合は共用部分にはなりません。</t>
    <phoneticPr fontId="2"/>
  </si>
  <si>
    <t>２.</t>
    <phoneticPr fontId="2"/>
  </si>
  <si>
    <t>条例対象規模の判定</t>
    <phoneticPr fontId="2"/>
  </si>
  <si>
    <t xml:space="preserve">（①+②+③+④）＋〔（⑤+⑥)×0.5〕（小数点第３位を四捨五入）＝ </t>
    <phoneticPr fontId="2"/>
  </si>
  <si>
    <t>（</t>
    <phoneticPr fontId="2"/>
  </si>
  <si>
    <t>＋</t>
    <phoneticPr fontId="2"/>
  </si>
  <si>
    <t>) ＋</t>
    <phoneticPr fontId="2"/>
  </si>
  <si>
    <t>〔(</t>
    <phoneticPr fontId="2"/>
  </si>
  <si>
    <t>＋</t>
    <phoneticPr fontId="2"/>
  </si>
  <si>
    <t>)</t>
    <phoneticPr fontId="2"/>
  </si>
  <si>
    <t>×</t>
    <phoneticPr fontId="2"/>
  </si>
  <si>
    <t>〕</t>
    <phoneticPr fontId="2"/>
  </si>
  <si>
    <t>＝</t>
    <phoneticPr fontId="2"/>
  </si>
  <si>
    <t>⑧</t>
    <phoneticPr fontId="2"/>
  </si>
  <si>
    <t>㎡</t>
    <phoneticPr fontId="2"/>
  </si>
  <si>
    <t>　・⑧の面積が 1,000 ㎡を超える場合 ⇒ 条例の対象。</t>
    <rPh sb="19" eb="21">
      <t>バアイ</t>
    </rPh>
    <rPh sb="24" eb="26">
      <t>ジョウレイ</t>
    </rPh>
    <phoneticPr fontId="2"/>
  </si>
  <si>
    <t>　・⑧の面積が 1,000 ㎡以下場合　　 ⇒ 条例の対象外。</t>
    <rPh sb="15" eb="17">
      <t>イカ</t>
    </rPh>
    <rPh sb="17" eb="19">
      <t>バアイ</t>
    </rPh>
    <rPh sb="24" eb="26">
      <t>ジョウレイ</t>
    </rPh>
    <rPh sb="29" eb="30">
      <t>ガイ</t>
    </rPh>
    <phoneticPr fontId="2"/>
  </si>
  <si>
    <t>３.</t>
    <phoneticPr fontId="2"/>
  </si>
  <si>
    <t>大規模な事務所の特例（小数点第３位を四捨五入）</t>
    <rPh sb="0" eb="3">
      <t>ダイキボ</t>
    </rPh>
    <rPh sb="4" eb="6">
      <t>ジム</t>
    </rPh>
    <rPh sb="6" eb="7">
      <t>ショ</t>
    </rPh>
    <rPh sb="8" eb="10">
      <t>トクレイ</t>
    </rPh>
    <phoneticPr fontId="2"/>
  </si>
  <si>
    <t>　②の面積が10,000㎡を超える場合は、床面積に次の表により逓減し、逓減後の合計面積(②’)</t>
    <phoneticPr fontId="2"/>
  </si>
  <si>
    <t>を②の面積として計算します。</t>
    <phoneticPr fontId="2"/>
  </si>
  <si>
    <t>(小数点第３位を四捨五入)</t>
    <phoneticPr fontId="2"/>
  </si>
  <si>
    <t>事務所の規模</t>
    <rPh sb="0" eb="2">
      <t>ジム</t>
    </rPh>
    <rPh sb="2" eb="3">
      <t>ショ</t>
    </rPh>
    <rPh sb="4" eb="6">
      <t>キボ</t>
    </rPh>
    <phoneticPr fontId="2"/>
  </si>
  <si>
    <t>床面積×逓減率</t>
    <rPh sb="0" eb="3">
      <t>ユカメンセキ</t>
    </rPh>
    <rPh sb="4" eb="6">
      <t>テイゲン</t>
    </rPh>
    <rPh sb="6" eb="7">
      <t>リツ</t>
    </rPh>
    <phoneticPr fontId="2"/>
  </si>
  <si>
    <t>逓減面積</t>
    <rPh sb="0" eb="2">
      <t>テイゲン</t>
    </rPh>
    <rPh sb="2" eb="4">
      <t>メンセキ</t>
    </rPh>
    <phoneticPr fontId="2"/>
  </si>
  <si>
    <t>　　　　　　　　10,000㎡以下の部分</t>
    <phoneticPr fontId="2"/>
  </si>
  <si>
    <t>× 1.0</t>
    <phoneticPr fontId="2"/>
  </si>
  <si>
    <t xml:space="preserve"> 10,000㎡を超え 50,000㎡以下の部分</t>
    <phoneticPr fontId="2"/>
  </si>
  <si>
    <t>× 0.7</t>
    <phoneticPr fontId="2"/>
  </si>
  <si>
    <t xml:space="preserve"> 50,000㎡を超え100,000㎡以下の部分</t>
    <phoneticPr fontId="2"/>
  </si>
  <si>
    <t>× 0.6</t>
    <phoneticPr fontId="2"/>
  </si>
  <si>
    <t>　　　　　　　 100,000㎡を超える部分</t>
    <phoneticPr fontId="2"/>
  </si>
  <si>
    <t>× 0.5</t>
    <phoneticPr fontId="2"/>
  </si>
  <si>
    <t>合　計</t>
    <phoneticPr fontId="2"/>
  </si>
  <si>
    <t>②’</t>
    <phoneticPr fontId="2"/>
  </si>
  <si>
    <t>４.</t>
    <phoneticPr fontId="2"/>
  </si>
  <si>
    <t>自動車用駐車施設の附置義務台数の算定</t>
    <rPh sb="3" eb="4">
      <t>ヨウ</t>
    </rPh>
    <rPh sb="4" eb="6">
      <t>チュウシャ</t>
    </rPh>
    <rPh sb="6" eb="8">
      <t>シセツ</t>
    </rPh>
    <phoneticPr fontId="2"/>
  </si>
  <si>
    <t>(1)特定・非特定用途に供する部分</t>
    <rPh sb="6" eb="7">
      <t>ヒ</t>
    </rPh>
    <rPh sb="7" eb="9">
      <t>トクテイ</t>
    </rPh>
    <phoneticPr fontId="2"/>
  </si>
  <si>
    <t>台数算定用床面積</t>
    <rPh sb="0" eb="2">
      <t>ダイスウ</t>
    </rPh>
    <rPh sb="2" eb="4">
      <t>サンテイ</t>
    </rPh>
    <rPh sb="4" eb="5">
      <t>ヨウ</t>
    </rPh>
    <rPh sb="5" eb="6">
      <t>ユカ</t>
    </rPh>
    <rPh sb="6" eb="8">
      <t>メンセキ</t>
    </rPh>
    <phoneticPr fontId="2"/>
  </si>
  <si>
    <t>用途別台数算定基準</t>
    <rPh sb="0" eb="2">
      <t>ヨウト</t>
    </rPh>
    <rPh sb="2" eb="3">
      <t>ベツ</t>
    </rPh>
    <rPh sb="3" eb="5">
      <t>ダイスウ</t>
    </rPh>
    <rPh sb="5" eb="7">
      <t>サンテイ</t>
    </rPh>
    <rPh sb="7" eb="9">
      <t>キジュン</t>
    </rPh>
    <phoneticPr fontId="2"/>
  </si>
  <si>
    <t>附置義務台数</t>
    <rPh sb="0" eb="2">
      <t>フチ</t>
    </rPh>
    <rPh sb="2" eb="4">
      <t>ギム</t>
    </rPh>
    <rPh sb="4" eb="6">
      <t>ダイスウ</t>
    </rPh>
    <phoneticPr fontId="2"/>
  </si>
  <si>
    <t xml:space="preserve"> ÷ 300(㎡/台)</t>
    <rPh sb="9" eb="10">
      <t>ダイ</t>
    </rPh>
    <phoneticPr fontId="2"/>
  </si>
  <si>
    <t>台</t>
    <rPh sb="0" eb="1">
      <t>ダイ</t>
    </rPh>
    <phoneticPr fontId="2"/>
  </si>
  <si>
    <t>②</t>
    <phoneticPr fontId="2"/>
  </si>
  <si>
    <t xml:space="preserve"> ÷ 450(㎡/台)</t>
    <rPh sb="9" eb="10">
      <t>ダイ</t>
    </rPh>
    <phoneticPr fontId="2"/>
  </si>
  <si>
    <t>除外</t>
    <rPh sb="0" eb="2">
      <t>ジョガイ</t>
    </rPh>
    <phoneticPr fontId="2"/>
  </si>
  <si>
    <t>㎡</t>
    <phoneticPr fontId="2"/>
  </si>
  <si>
    <t>⑨</t>
    <phoneticPr fontId="2"/>
  </si>
  <si>
    <t>(2)小規模建築物（6,000㎡未満）の緩和措置</t>
    <rPh sb="3" eb="6">
      <t>ショウキボ</t>
    </rPh>
    <rPh sb="6" eb="9">
      <t>ケンチクブツ</t>
    </rPh>
    <rPh sb="16" eb="18">
      <t>ミマン</t>
    </rPh>
    <rPh sb="20" eb="22">
      <t>カンワ</t>
    </rPh>
    <rPh sb="22" eb="24">
      <t>ソチ</t>
    </rPh>
    <phoneticPr fontId="2"/>
  </si>
  <si>
    <t>⑦が6,000㎡未満の場合は、次により算定された緩和率を⑨に乗じます。</t>
    <phoneticPr fontId="2"/>
  </si>
  <si>
    <t>1,000㎡×（6,000㎡－建築物の延べ床面積⑦）</t>
    <rPh sb="15" eb="18">
      <t>ケンチクブツ</t>
    </rPh>
    <rPh sb="19" eb="20">
      <t>ノ</t>
    </rPh>
    <rPh sb="21" eb="22">
      <t>ユカ</t>
    </rPh>
    <rPh sb="22" eb="24">
      <t>メンセキ</t>
    </rPh>
    <phoneticPr fontId="2"/>
  </si>
  <si>
    <t xml:space="preserve">緩和率 ＝ </t>
    <rPh sb="0" eb="2">
      <t>カンワ</t>
    </rPh>
    <rPh sb="2" eb="3">
      <t>リツ</t>
    </rPh>
    <phoneticPr fontId="2"/>
  </si>
  <si>
    <t>－</t>
    <phoneticPr fontId="2"/>
  </si>
  <si>
    <t>6,000㎡×⑧－1,000㎡×建築物の延べ床面積⑦</t>
    <rPh sb="16" eb="19">
      <t>ケンチクブツ</t>
    </rPh>
    <rPh sb="20" eb="21">
      <t>ノ</t>
    </rPh>
    <rPh sb="22" eb="23">
      <t>ユカ</t>
    </rPh>
    <rPh sb="23" eb="25">
      <t>メンセキ</t>
    </rPh>
    <phoneticPr fontId="2"/>
  </si>
  <si>
    <t>1,000㎡×（6,000㎡－</t>
    <phoneticPr fontId="2"/>
  </si>
  <si>
    <t>㎡）</t>
    <phoneticPr fontId="2"/>
  </si>
  <si>
    <t>(小数点第６位を四捨五入)</t>
    <phoneticPr fontId="2"/>
  </si>
  <si>
    <t>　　　 ＝</t>
    <phoneticPr fontId="2"/>
  </si>
  <si>
    <t>＝</t>
    <phoneticPr fontId="2"/>
  </si>
  <si>
    <t>⑩</t>
    <phoneticPr fontId="2"/>
  </si>
  <si>
    <t>6,000㎡×</t>
    <phoneticPr fontId="2"/>
  </si>
  <si>
    <t>㎡－1,000㎡×</t>
    <phoneticPr fontId="2"/>
  </si>
  <si>
    <t>(3)自動車駐車場の附置義務台数</t>
    <rPh sb="3" eb="6">
      <t>ジドウシャ</t>
    </rPh>
    <rPh sb="6" eb="9">
      <t>チュウシャジョウ</t>
    </rPh>
    <rPh sb="10" eb="12">
      <t>フチ</t>
    </rPh>
    <rPh sb="12" eb="14">
      <t>ギム</t>
    </rPh>
    <rPh sb="14" eb="16">
      <t>ダイスウ</t>
    </rPh>
    <phoneticPr fontId="2"/>
  </si>
  <si>
    <t>・緩和措置のある場合</t>
  </si>
  <si>
    <t>(小数点以下切上げ)</t>
    <rPh sb="4" eb="6">
      <t>イカ</t>
    </rPh>
    <rPh sb="6" eb="8">
      <t>キリア</t>
    </rPh>
    <phoneticPr fontId="2"/>
  </si>
  <si>
    <t>台×⑩</t>
    <rPh sb="0" eb="1">
      <t>ダイ</t>
    </rPh>
    <phoneticPr fontId="2"/>
  </si>
  <si>
    <t xml:space="preserve"> ⇒</t>
    <phoneticPr fontId="2"/>
  </si>
  <si>
    <t>⑪</t>
    <phoneticPr fontId="2"/>
  </si>
  <si>
    <t>・緩和措置のない場合</t>
    <phoneticPr fontId="2"/>
  </si>
  <si>
    <t>５.</t>
    <phoneticPr fontId="2"/>
  </si>
  <si>
    <t>荷さばき用駐車施設の附置義務台数の算定</t>
    <rPh sb="14" eb="16">
      <t>ダイスウ</t>
    </rPh>
    <phoneticPr fontId="2"/>
  </si>
  <si>
    <t>(1)条例対象規模の判定</t>
    <phoneticPr fontId="2"/>
  </si>
  <si>
    <r>
      <t>特定用途に供する部分の床面積 （①+②+③+④）</t>
    </r>
    <r>
      <rPr>
        <sz val="10"/>
        <rFont val="ＭＳ ゴシック"/>
        <family val="3"/>
        <charset val="128"/>
      </rPr>
      <t>（小数点第３位を四捨五入）</t>
    </r>
    <r>
      <rPr>
        <sz val="11"/>
        <rFont val="ＭＳ ゴシック"/>
        <family val="3"/>
        <charset val="128"/>
      </rPr>
      <t xml:space="preserve">＝ </t>
    </r>
    <phoneticPr fontId="2"/>
  </si>
  <si>
    <t>（</t>
    <phoneticPr fontId="2"/>
  </si>
  <si>
    <t>＋</t>
    <phoneticPr fontId="2"/>
  </si>
  <si>
    <t>＋</t>
    <phoneticPr fontId="2"/>
  </si>
  <si>
    <t xml:space="preserve">) </t>
    <phoneticPr fontId="2"/>
  </si>
  <si>
    <t>＝</t>
    <phoneticPr fontId="2"/>
  </si>
  <si>
    <t>⑫</t>
    <phoneticPr fontId="2"/>
  </si>
  <si>
    <t>㎡</t>
    <phoneticPr fontId="2"/>
  </si>
  <si>
    <t>　・⑫の面積が 2,000 ㎡を超える場合 ⇒ 条例の対象。</t>
    <rPh sb="19" eb="21">
      <t>バアイ</t>
    </rPh>
    <rPh sb="24" eb="26">
      <t>ジョウレイ</t>
    </rPh>
    <phoneticPr fontId="2"/>
  </si>
  <si>
    <t>　・⑫の面積が 2,000 ㎡以下場合　　 ⇒ 条例の対象外。</t>
    <rPh sb="15" eb="17">
      <t>イカ</t>
    </rPh>
    <rPh sb="17" eb="19">
      <t>バアイ</t>
    </rPh>
    <rPh sb="24" eb="26">
      <t>ジョウレイ</t>
    </rPh>
    <rPh sb="29" eb="30">
      <t>ガイ</t>
    </rPh>
    <phoneticPr fontId="2"/>
  </si>
  <si>
    <t>(2)特定用途に供する部分</t>
    <rPh sb="5" eb="7">
      <t>ヨウト</t>
    </rPh>
    <phoneticPr fontId="2"/>
  </si>
  <si>
    <t>百貨店その他の店舗</t>
    <phoneticPr fontId="2"/>
  </si>
  <si>
    <t xml:space="preserve"> ÷ 3,000(㎡/台)</t>
    <rPh sb="11" eb="12">
      <t>ダイ</t>
    </rPh>
    <phoneticPr fontId="2"/>
  </si>
  <si>
    <t>②</t>
    <phoneticPr fontId="2"/>
  </si>
  <si>
    <t xml:space="preserve"> ÷ 5,000(㎡/台)</t>
    <rPh sb="11" eb="12">
      <t>ダイ</t>
    </rPh>
    <phoneticPr fontId="2"/>
  </si>
  <si>
    <t xml:space="preserve"> ÷ 1,500(㎡/台)</t>
    <rPh sb="11" eb="12">
      <t>ダイ</t>
    </rPh>
    <phoneticPr fontId="2"/>
  </si>
  <si>
    <t xml:space="preserve"> ÷ 4,000(㎡/台)</t>
    <rPh sb="11" eb="12">
      <t>ダイ</t>
    </rPh>
    <phoneticPr fontId="2"/>
  </si>
  <si>
    <t>⑬</t>
    <phoneticPr fontId="2"/>
  </si>
  <si>
    <t>(3)小規模建築物（6,000㎡未満）の緩和措置</t>
    <rPh sb="3" eb="6">
      <t>ショウキボ</t>
    </rPh>
    <rPh sb="6" eb="9">
      <t>ケンチクブツ</t>
    </rPh>
    <rPh sb="16" eb="18">
      <t>ミマン</t>
    </rPh>
    <rPh sb="20" eb="22">
      <t>カンワ</t>
    </rPh>
    <rPh sb="22" eb="24">
      <t>ソチ</t>
    </rPh>
    <phoneticPr fontId="2"/>
  </si>
  <si>
    <t>⑫が 6,000㎡ 未満の場合は、次により算定された緩和率を⑬に乗じます。</t>
    <phoneticPr fontId="2"/>
  </si>
  <si>
    <t>6,000㎡－建築物の延べ床面積⑫</t>
    <rPh sb="7" eb="10">
      <t>ケンチクブツ</t>
    </rPh>
    <rPh sb="11" eb="12">
      <t>ノ</t>
    </rPh>
    <rPh sb="13" eb="14">
      <t>ユカ</t>
    </rPh>
    <rPh sb="14" eb="16">
      <t>メンセキ</t>
    </rPh>
    <phoneticPr fontId="2"/>
  </si>
  <si>
    <t>2×建築物の延べ床面積⑫</t>
    <rPh sb="2" eb="5">
      <t>ケンチクブツ</t>
    </rPh>
    <rPh sb="6" eb="7">
      <t>ノ</t>
    </rPh>
    <rPh sb="8" eb="9">
      <t>ユカ</t>
    </rPh>
    <rPh sb="9" eb="11">
      <t>メンセキ</t>
    </rPh>
    <phoneticPr fontId="2"/>
  </si>
  <si>
    <t>6,000㎡－</t>
    <phoneticPr fontId="2"/>
  </si>
  <si>
    <t>(小数点第６位を四捨五入)</t>
  </si>
  <si>
    <t>－</t>
    <phoneticPr fontId="2"/>
  </si>
  <si>
    <t>⑭</t>
    <phoneticPr fontId="2"/>
  </si>
  <si>
    <t>2×</t>
  </si>
  <si>
    <t>(4)荷さばき用駐車施設の附置義務台数（幅3.0ｍ以上×奥行き7.7ｍ×高さ3.0ｍ以上）</t>
    <rPh sb="36" eb="37">
      <t>タカ</t>
    </rPh>
    <phoneticPr fontId="2"/>
  </si>
  <si>
    <t>台×⑭</t>
    <rPh sb="0" eb="1">
      <t>ダイ</t>
    </rPh>
    <phoneticPr fontId="2"/>
  </si>
  <si>
    <t>＝</t>
    <phoneticPr fontId="2"/>
  </si>
  <si>
    <t>⑮</t>
    <phoneticPr fontId="2"/>
  </si>
  <si>
    <t>⑬</t>
  </si>
  <si>
    <t>⑮</t>
    <phoneticPr fontId="2"/>
  </si>
  <si>
    <t>６.</t>
    <phoneticPr fontId="2"/>
  </si>
  <si>
    <t>駐車施設の附置義務台数</t>
    <phoneticPr fontId="2"/>
  </si>
  <si>
    <t>種　別</t>
    <rPh sb="0" eb="1">
      <t>タネ</t>
    </rPh>
    <rPh sb="2" eb="3">
      <t>ベツ</t>
    </rPh>
    <phoneticPr fontId="2"/>
  </si>
  <si>
    <t>駐車施設の規模</t>
    <rPh sb="0" eb="2">
      <t>チュウシャ</t>
    </rPh>
    <rPh sb="2" eb="4">
      <t>シセツ</t>
    </rPh>
    <rPh sb="5" eb="7">
      <t>キボ</t>
    </rPh>
    <phoneticPr fontId="2"/>
  </si>
  <si>
    <t>台　数</t>
    <rPh sb="0" eb="1">
      <t>ダイ</t>
    </rPh>
    <rPh sb="2" eb="3">
      <t>カズ</t>
    </rPh>
    <phoneticPr fontId="2"/>
  </si>
  <si>
    <t>Ａ</t>
    <phoneticPr fontId="2"/>
  </si>
  <si>
    <t>附置義務台数合計</t>
    <rPh sb="0" eb="2">
      <t>フチ</t>
    </rPh>
    <rPh sb="2" eb="4">
      <t>ギム</t>
    </rPh>
    <rPh sb="4" eb="6">
      <t>ダイスウ</t>
    </rPh>
    <rPh sb="6" eb="8">
      <t>ゴウケイ</t>
    </rPh>
    <phoneticPr fontId="2"/>
  </si>
  <si>
    <t>Ｂ</t>
    <phoneticPr fontId="2"/>
  </si>
  <si>
    <t>Ａ×30％</t>
    <phoneticPr fontId="2"/>
  </si>
  <si>
    <t>Ｃ</t>
    <phoneticPr fontId="2"/>
  </si>
  <si>
    <t>車いす利用者用</t>
    <rPh sb="0" eb="1">
      <t>クルマ</t>
    </rPh>
    <rPh sb="3" eb="6">
      <t>リヨウシャ</t>
    </rPh>
    <rPh sb="6" eb="7">
      <t>ヨウ</t>
    </rPh>
    <phoneticPr fontId="2"/>
  </si>
  <si>
    <t>幅3.5ｍ以上×奥行き6.0ｍ以上</t>
    <rPh sb="15" eb="17">
      <t>イジョウ</t>
    </rPh>
    <phoneticPr fontId="2"/>
  </si>
  <si>
    <t>Bの内数</t>
    <rPh sb="2" eb="3">
      <t>ウチ</t>
    </rPh>
    <rPh sb="3" eb="4">
      <t>スウ</t>
    </rPh>
    <phoneticPr fontId="2"/>
  </si>
  <si>
    <t>Ｄ</t>
    <phoneticPr fontId="2"/>
  </si>
  <si>
    <t>大型車用</t>
    <rPh sb="0" eb="2">
      <t>オオガタ</t>
    </rPh>
    <rPh sb="2" eb="3">
      <t>シャ</t>
    </rPh>
    <rPh sb="3" eb="4">
      <t>ヨウ</t>
    </rPh>
    <phoneticPr fontId="2"/>
  </si>
  <si>
    <t>幅2.5ｍ以上×奥行き6.0ｍ以上</t>
    <rPh sb="15" eb="17">
      <t>イジョウ</t>
    </rPh>
    <phoneticPr fontId="2"/>
  </si>
  <si>
    <t>B-C</t>
    <phoneticPr fontId="2"/>
  </si>
  <si>
    <t>Ｅ</t>
    <phoneticPr fontId="2"/>
  </si>
  <si>
    <t>荷さばき用</t>
    <rPh sb="0" eb="1">
      <t>ニ</t>
    </rPh>
    <rPh sb="4" eb="5">
      <t>ヨウ</t>
    </rPh>
    <phoneticPr fontId="2"/>
  </si>
  <si>
    <t>幅3.0ｍ以上×奥行き7.7ｍ×高さ3.0ｍ以上</t>
    <phoneticPr fontId="2"/>
  </si>
  <si>
    <t>Aの内数</t>
    <rPh sb="2" eb="3">
      <t>ウチ</t>
    </rPh>
    <rPh sb="3" eb="4">
      <t>スウ</t>
    </rPh>
    <phoneticPr fontId="2"/>
  </si>
  <si>
    <t>Ｆ</t>
    <phoneticPr fontId="2"/>
  </si>
  <si>
    <t>小型車用</t>
    <rPh sb="0" eb="4">
      <t>コガタシャヨウ</t>
    </rPh>
    <phoneticPr fontId="2"/>
  </si>
  <si>
    <t>幅2.3ｍ以上×奥行き5.0ｍ以上</t>
    <rPh sb="15" eb="17">
      <t>イジョウ</t>
    </rPh>
    <phoneticPr fontId="2"/>
  </si>
  <si>
    <t>A-B-E</t>
    <phoneticPr fontId="2"/>
  </si>
  <si>
    <t>車椅子使用者の附置義務台数の算定　</t>
    <rPh sb="0" eb="3">
      <t>クルマイス</t>
    </rPh>
    <rPh sb="3" eb="6">
      <t>シヨウシャ</t>
    </rPh>
    <rPh sb="11" eb="13">
      <t>ダイスウ</t>
    </rPh>
    <phoneticPr fontId="2"/>
  </si>
  <si>
    <t>(小数点以下切上げ)</t>
    <phoneticPr fontId="2"/>
  </si>
  <si>
    <t>・附置義務台数が２００台以下の場合、当該台数に１００分の２を乗じて得た台数</t>
    <rPh sb="1" eb="3">
      <t>フチ</t>
    </rPh>
    <rPh sb="3" eb="5">
      <t>ギム</t>
    </rPh>
    <rPh sb="5" eb="7">
      <t>ダイスウ</t>
    </rPh>
    <rPh sb="11" eb="14">
      <t>ダイイカ</t>
    </rPh>
    <rPh sb="15" eb="17">
      <t>バアイ</t>
    </rPh>
    <rPh sb="18" eb="20">
      <t>トウガイ</t>
    </rPh>
    <rPh sb="20" eb="22">
      <t>ダイスウ</t>
    </rPh>
    <rPh sb="26" eb="27">
      <t>ブン</t>
    </rPh>
    <rPh sb="30" eb="31">
      <t>ジョウ</t>
    </rPh>
    <rPh sb="33" eb="34">
      <t>エ</t>
    </rPh>
    <rPh sb="35" eb="37">
      <t>ダイスウ</t>
    </rPh>
    <phoneticPr fontId="2"/>
  </si>
  <si>
    <t>台×</t>
    <rPh sb="0" eb="1">
      <t>ダイ</t>
    </rPh>
    <phoneticPr fontId="2"/>
  </si>
  <si>
    <t>・附置義務台数が２００台を超える場合、当該台数に１００分の１を乗じて得た台数＋２）台</t>
    <phoneticPr fontId="2"/>
  </si>
  <si>
    <t>７.</t>
    <phoneticPr fontId="2"/>
  </si>
  <si>
    <t>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</si>
</sst>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);[Red]\(#,##0.00\)"/>
    <numFmt numFmtId="177" formatCode="#,##0.000_);[Red]\(#,##0.000\)"/>
    <numFmt numFmtId="178" formatCode="#,##0.00_ "/>
    <numFmt numFmtId="179" formatCode="#,##0.0000_ "/>
    <numFmt numFmtId="180" formatCode="0.00000_ "/>
    <numFmt numFmtId="181" formatCode="#,##0_ "/>
    <numFmt numFmtId="182" formatCode="#\ ?/100"/>
    <numFmt numFmtId="183" formatCode="#,##0_);[Red]\(#,##0\)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2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179" fontId="3" fillId="0" borderId="0" xfId="0" applyNumberFormat="1" applyFont="1">
      <alignment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178" fontId="7" fillId="0" borderId="0" xfId="0" applyNumberFormat="1" applyFont="1">
      <alignment vertical="center"/>
    </xf>
    <xf numFmtId="3" fontId="3" fillId="0" borderId="0" xfId="0" applyNumberFormat="1" applyFont="1" applyAlignment="1"/>
    <xf numFmtId="0" fontId="3" fillId="0" borderId="0" xfId="0" applyFont="1" applyAlignment="1">
      <alignment vertical="top"/>
    </xf>
    <xf numFmtId="0" fontId="3" fillId="0" borderId="0" xfId="0" applyFont="1" applyAlignment="1"/>
    <xf numFmtId="178" fontId="3" fillId="0" borderId="0" xfId="0" applyNumberFormat="1" applyFont="1" applyAlignment="1"/>
    <xf numFmtId="176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178" fontId="3" fillId="0" borderId="0" xfId="0" applyNumberFormat="1" applyFont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81" fontId="3" fillId="0" borderId="6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81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8" fontId="3" fillId="0" borderId="0" xfId="0" applyNumberFormat="1" applyFont="1" applyAlignment="1"/>
    <xf numFmtId="180" fontId="3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vertical="top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178" fontId="3" fillId="0" borderId="0" xfId="0" applyNumberFormat="1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3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7" fontId="3" fillId="0" borderId="1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6" fontId="3" fillId="3" borderId="3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3" fillId="3" borderId="2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>
      <alignment vertical="center"/>
    </xf>
    <xf numFmtId="182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>
      <alignment vertical="center"/>
    </xf>
    <xf numFmtId="181" fontId="3" fillId="0" borderId="0" xfId="0" applyNumberFormat="1" applyFont="1" applyFill="1">
      <alignment vertical="center"/>
    </xf>
    <xf numFmtId="183" fontId="3" fillId="0" borderId="0" xfId="0" applyNumberFormat="1" applyFont="1" applyFill="1">
      <alignment vertical="center"/>
    </xf>
    <xf numFmtId="181" fontId="3" fillId="0" borderId="6" xfId="0" applyNumberFormat="1" applyFont="1" applyFill="1" applyBorder="1">
      <alignment vertical="center"/>
    </xf>
    <xf numFmtId="57" fontId="3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58</xdr:row>
      <xdr:rowOff>95250</xdr:rowOff>
    </xdr:from>
    <xdr:to>
      <xdr:col>20</xdr:col>
      <xdr:colOff>266700</xdr:colOff>
      <xdr:row>58</xdr:row>
      <xdr:rowOff>95250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314575" y="12801600"/>
          <a:ext cx="3476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61</xdr:row>
      <xdr:rowOff>95250</xdr:rowOff>
    </xdr:from>
    <xdr:to>
      <xdr:col>23</xdr:col>
      <xdr:colOff>0</xdr:colOff>
      <xdr:row>61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314575" y="13430250"/>
          <a:ext cx="403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91</xdr:row>
      <xdr:rowOff>95250</xdr:rowOff>
    </xdr:from>
    <xdr:to>
      <xdr:col>18</xdr:col>
      <xdr:colOff>9525</xdr:colOff>
      <xdr:row>91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314575" y="195357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94</xdr:row>
      <xdr:rowOff>95250</xdr:rowOff>
    </xdr:from>
    <xdr:to>
      <xdr:col>18</xdr:col>
      <xdr:colOff>19050</xdr:colOff>
      <xdr:row>94</xdr:row>
      <xdr:rowOff>95250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314575" y="20164425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D220"/>
  <sheetViews>
    <sheetView tabSelected="1" view="pageBreakPreview" zoomScale="115" zoomScaleNormal="100" zoomScaleSheetLayoutView="115" workbookViewId="0">
      <selection activeCell="AG7" sqref="AG7"/>
    </sheetView>
  </sheetViews>
  <sheetFormatPr defaultRowHeight="13.5" x14ac:dyDescent="0.15"/>
  <cols>
    <col min="1" max="27" width="3.625" style="2" customWidth="1"/>
    <col min="28" max="28" width="1.75" style="2" customWidth="1"/>
    <col min="29" max="29" width="3.625" style="2" customWidth="1"/>
    <col min="30" max="30" width="10.5" style="2" bestFit="1" customWidth="1"/>
    <col min="31" max="16384" width="9" style="2"/>
  </cols>
  <sheetData>
    <row r="1" spans="1:28" ht="18" customHeight="1" x14ac:dyDescent="0.15">
      <c r="A1" s="1" t="s">
        <v>0</v>
      </c>
      <c r="B1" s="1"/>
      <c r="Y1" s="95">
        <v>46113</v>
      </c>
      <c r="Z1" s="85"/>
      <c r="AA1" s="85"/>
      <c r="AB1" s="85"/>
    </row>
    <row r="2" spans="1:28" ht="12" customHeight="1" x14ac:dyDescent="0.15"/>
    <row r="3" spans="1:28" ht="18" customHeight="1" x14ac:dyDescent="0.15">
      <c r="A3" s="4" t="s">
        <v>1</v>
      </c>
      <c r="AA3" s="5"/>
    </row>
    <row r="4" spans="1:28" ht="12" customHeight="1" x14ac:dyDescent="0.15"/>
    <row r="5" spans="1:28" ht="18" customHeight="1" x14ac:dyDescent="0.15">
      <c r="A5" s="6" t="s">
        <v>2</v>
      </c>
      <c r="B5" s="7" t="s">
        <v>3</v>
      </c>
      <c r="Z5" s="8" t="s">
        <v>4</v>
      </c>
    </row>
    <row r="6" spans="1:28" ht="18" customHeight="1" x14ac:dyDescent="0.15">
      <c r="C6" s="49" t="s">
        <v>5</v>
      </c>
      <c r="D6" s="4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49" t="s">
        <v>6</v>
      </c>
      <c r="Q6" s="49"/>
      <c r="R6" s="49"/>
      <c r="S6" s="49"/>
      <c r="T6" s="49"/>
      <c r="U6" s="80"/>
      <c r="V6" s="80"/>
      <c r="W6" s="80"/>
      <c r="X6" s="80"/>
      <c r="Y6" s="80"/>
      <c r="Z6" s="80"/>
    </row>
    <row r="7" spans="1:28" ht="40.5" customHeight="1" x14ac:dyDescent="0.15">
      <c r="C7" s="49" t="s">
        <v>7</v>
      </c>
      <c r="D7" s="49"/>
      <c r="E7" s="49"/>
      <c r="F7" s="49"/>
      <c r="G7" s="49"/>
      <c r="H7" s="49"/>
      <c r="I7" s="49"/>
      <c r="J7" s="49" t="s">
        <v>8</v>
      </c>
      <c r="K7" s="49"/>
      <c r="L7" s="49"/>
      <c r="M7" s="49"/>
      <c r="N7" s="49"/>
      <c r="O7" s="49"/>
      <c r="P7" s="81" t="s">
        <v>9</v>
      </c>
      <c r="Q7" s="82"/>
      <c r="R7" s="82"/>
      <c r="S7" s="82"/>
      <c r="T7" s="82"/>
      <c r="U7" s="49" t="s">
        <v>10</v>
      </c>
      <c r="V7" s="49"/>
      <c r="W7" s="49"/>
      <c r="X7" s="49"/>
      <c r="Y7" s="49"/>
      <c r="Z7" s="49"/>
    </row>
    <row r="8" spans="1:28" ht="18" customHeight="1" x14ac:dyDescent="0.15">
      <c r="C8" s="59" t="s">
        <v>11</v>
      </c>
      <c r="D8" s="49"/>
      <c r="E8" s="60" t="s">
        <v>12</v>
      </c>
      <c r="F8" s="60"/>
      <c r="G8" s="60"/>
      <c r="H8" s="60"/>
      <c r="I8" s="60"/>
      <c r="J8" s="9"/>
      <c r="K8" s="76"/>
      <c r="L8" s="77"/>
      <c r="M8" s="77"/>
      <c r="N8" s="78"/>
      <c r="O8" s="10" t="s">
        <v>13</v>
      </c>
      <c r="P8" s="74" t="str">
        <f t="shared" ref="P8:P13" si="0">IF(K8=0," ",ROUND(K8*$K$15/$K$14,3))</f>
        <v xml:space="preserve"> </v>
      </c>
      <c r="Q8" s="74"/>
      <c r="R8" s="74"/>
      <c r="S8" s="75"/>
      <c r="T8" s="10" t="s">
        <v>13</v>
      </c>
      <c r="U8" s="11" t="s">
        <v>14</v>
      </c>
      <c r="V8" s="50" t="str">
        <f t="shared" ref="V8:V13" si="1">IF(K8=0," ",SUM(K8,P8))</f>
        <v xml:space="preserve"> </v>
      </c>
      <c r="W8" s="51"/>
      <c r="X8" s="51"/>
      <c r="Y8" s="52"/>
      <c r="Z8" s="10" t="s">
        <v>13</v>
      </c>
    </row>
    <row r="9" spans="1:28" ht="18" customHeight="1" x14ac:dyDescent="0.15">
      <c r="C9" s="49"/>
      <c r="D9" s="49"/>
      <c r="E9" s="58" t="s">
        <v>15</v>
      </c>
      <c r="F9" s="58"/>
      <c r="G9" s="58"/>
      <c r="H9" s="58"/>
      <c r="I9" s="58"/>
      <c r="J9" s="9"/>
      <c r="K9" s="76"/>
      <c r="L9" s="77"/>
      <c r="M9" s="77"/>
      <c r="N9" s="78"/>
      <c r="O9" s="10" t="s">
        <v>13</v>
      </c>
      <c r="P9" s="74" t="str">
        <f t="shared" si="0"/>
        <v xml:space="preserve"> </v>
      </c>
      <c r="Q9" s="74"/>
      <c r="R9" s="74"/>
      <c r="S9" s="75"/>
      <c r="T9" s="10" t="s">
        <v>13</v>
      </c>
      <c r="U9" s="11" t="s">
        <v>16</v>
      </c>
      <c r="V9" s="50" t="str">
        <f t="shared" si="1"/>
        <v xml:space="preserve"> </v>
      </c>
      <c r="W9" s="51"/>
      <c r="X9" s="51"/>
      <c r="Y9" s="52"/>
      <c r="Z9" s="10" t="s">
        <v>13</v>
      </c>
    </row>
    <row r="10" spans="1:28" ht="18" customHeight="1" x14ac:dyDescent="0.15">
      <c r="C10" s="49"/>
      <c r="D10" s="49"/>
      <c r="E10" s="58" t="s">
        <v>17</v>
      </c>
      <c r="F10" s="58"/>
      <c r="G10" s="58"/>
      <c r="H10" s="58"/>
      <c r="I10" s="58"/>
      <c r="J10" s="9"/>
      <c r="K10" s="76"/>
      <c r="L10" s="77"/>
      <c r="M10" s="77"/>
      <c r="N10" s="78"/>
      <c r="O10" s="10" t="s">
        <v>13</v>
      </c>
      <c r="P10" s="74" t="str">
        <f t="shared" si="0"/>
        <v xml:space="preserve"> </v>
      </c>
      <c r="Q10" s="74"/>
      <c r="R10" s="74"/>
      <c r="S10" s="75"/>
      <c r="T10" s="10" t="s">
        <v>13</v>
      </c>
      <c r="U10" s="11" t="s">
        <v>18</v>
      </c>
      <c r="V10" s="50" t="str">
        <f t="shared" si="1"/>
        <v xml:space="preserve"> </v>
      </c>
      <c r="W10" s="51"/>
      <c r="X10" s="51"/>
      <c r="Y10" s="52"/>
      <c r="Z10" s="10" t="s">
        <v>13</v>
      </c>
    </row>
    <row r="11" spans="1:28" ht="18" customHeight="1" x14ac:dyDescent="0.15">
      <c r="C11" s="49"/>
      <c r="D11" s="49"/>
      <c r="E11" s="58" t="s">
        <v>19</v>
      </c>
      <c r="F11" s="58"/>
      <c r="G11" s="58"/>
      <c r="H11" s="58"/>
      <c r="I11" s="58"/>
      <c r="J11" s="9"/>
      <c r="K11" s="76"/>
      <c r="L11" s="77"/>
      <c r="M11" s="77"/>
      <c r="N11" s="78"/>
      <c r="O11" s="10" t="s">
        <v>13</v>
      </c>
      <c r="P11" s="74" t="str">
        <f t="shared" si="0"/>
        <v xml:space="preserve"> </v>
      </c>
      <c r="Q11" s="74"/>
      <c r="R11" s="74"/>
      <c r="S11" s="75"/>
      <c r="T11" s="10" t="s">
        <v>13</v>
      </c>
      <c r="U11" s="11" t="s">
        <v>20</v>
      </c>
      <c r="V11" s="50" t="str">
        <f t="shared" si="1"/>
        <v xml:space="preserve"> </v>
      </c>
      <c r="W11" s="51"/>
      <c r="X11" s="51"/>
      <c r="Y11" s="52"/>
      <c r="Z11" s="10" t="s">
        <v>13</v>
      </c>
    </row>
    <row r="12" spans="1:28" ht="18" customHeight="1" x14ac:dyDescent="0.15">
      <c r="C12" s="65" t="s">
        <v>21</v>
      </c>
      <c r="D12" s="66"/>
      <c r="E12" s="58" t="s">
        <v>22</v>
      </c>
      <c r="F12" s="58"/>
      <c r="G12" s="58"/>
      <c r="H12" s="58"/>
      <c r="I12" s="58"/>
      <c r="J12" s="9"/>
      <c r="K12" s="76"/>
      <c r="L12" s="77"/>
      <c r="M12" s="77"/>
      <c r="N12" s="78"/>
      <c r="O12" s="10" t="s">
        <v>13</v>
      </c>
      <c r="P12" s="74" t="str">
        <f t="shared" si="0"/>
        <v xml:space="preserve"> </v>
      </c>
      <c r="Q12" s="74"/>
      <c r="R12" s="74"/>
      <c r="S12" s="75"/>
      <c r="T12" s="10" t="s">
        <v>13</v>
      </c>
      <c r="U12" s="11" t="s">
        <v>23</v>
      </c>
      <c r="V12" s="50" t="str">
        <f t="shared" si="1"/>
        <v xml:space="preserve"> </v>
      </c>
      <c r="W12" s="51"/>
      <c r="X12" s="51"/>
      <c r="Y12" s="52"/>
      <c r="Z12" s="10" t="s">
        <v>13</v>
      </c>
    </row>
    <row r="13" spans="1:28" ht="18" customHeight="1" x14ac:dyDescent="0.15">
      <c r="C13" s="66"/>
      <c r="D13" s="66"/>
      <c r="E13" s="58" t="s">
        <v>24</v>
      </c>
      <c r="F13" s="58"/>
      <c r="G13" s="58"/>
      <c r="H13" s="58"/>
      <c r="I13" s="58"/>
      <c r="J13" s="9"/>
      <c r="K13" s="76"/>
      <c r="L13" s="77"/>
      <c r="M13" s="77"/>
      <c r="N13" s="78"/>
      <c r="O13" s="10" t="s">
        <v>13</v>
      </c>
      <c r="P13" s="74" t="str">
        <f t="shared" si="0"/>
        <v xml:space="preserve"> </v>
      </c>
      <c r="Q13" s="74"/>
      <c r="R13" s="74"/>
      <c r="S13" s="75"/>
      <c r="T13" s="10" t="s">
        <v>13</v>
      </c>
      <c r="U13" s="11" t="s">
        <v>25</v>
      </c>
      <c r="V13" s="50" t="str">
        <f t="shared" si="1"/>
        <v xml:space="preserve"> </v>
      </c>
      <c r="W13" s="51"/>
      <c r="X13" s="51"/>
      <c r="Y13" s="52"/>
      <c r="Z13" s="10" t="s">
        <v>13</v>
      </c>
    </row>
    <row r="14" spans="1:28" ht="18" customHeight="1" x14ac:dyDescent="0.15">
      <c r="C14" s="49" t="s">
        <v>26</v>
      </c>
      <c r="D14" s="49"/>
      <c r="E14" s="49"/>
      <c r="F14" s="49"/>
      <c r="G14" s="49"/>
      <c r="H14" s="49"/>
      <c r="I14" s="49"/>
      <c r="J14" s="9"/>
      <c r="K14" s="50">
        <f>SUM(K8:N13)</f>
        <v>0</v>
      </c>
      <c r="L14" s="51"/>
      <c r="M14" s="51"/>
      <c r="N14" s="52"/>
      <c r="O14" s="10" t="s">
        <v>13</v>
      </c>
      <c r="P14" s="74">
        <f>SUM(P8:S13)</f>
        <v>0</v>
      </c>
      <c r="Q14" s="74"/>
      <c r="R14" s="74"/>
      <c r="S14" s="75"/>
      <c r="T14" s="10" t="s">
        <v>13</v>
      </c>
      <c r="U14" s="9"/>
      <c r="V14" s="50">
        <f>SUM(V8:Y13)</f>
        <v>0</v>
      </c>
      <c r="W14" s="51"/>
      <c r="X14" s="51"/>
      <c r="Y14" s="52"/>
      <c r="Z14" s="10" t="s">
        <v>13</v>
      </c>
    </row>
    <row r="15" spans="1:28" ht="18" customHeight="1" x14ac:dyDescent="0.15">
      <c r="C15" s="58" t="s">
        <v>27</v>
      </c>
      <c r="D15" s="58"/>
      <c r="E15" s="58"/>
      <c r="F15" s="58"/>
      <c r="G15" s="58"/>
      <c r="H15" s="58"/>
      <c r="I15" s="58"/>
      <c r="J15" s="9"/>
      <c r="K15" s="76"/>
      <c r="L15" s="77"/>
      <c r="M15" s="77"/>
      <c r="N15" s="78"/>
      <c r="O15" s="10" t="s">
        <v>13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8" ht="18" customHeight="1" x14ac:dyDescent="0.15">
      <c r="C16" s="58" t="s">
        <v>28</v>
      </c>
      <c r="D16" s="58"/>
      <c r="E16" s="58"/>
      <c r="F16" s="58"/>
      <c r="G16" s="58"/>
      <c r="H16" s="58"/>
      <c r="I16" s="58"/>
      <c r="J16" s="11" t="s">
        <v>29</v>
      </c>
      <c r="K16" s="50">
        <f>SUM(K14:N15)</f>
        <v>0</v>
      </c>
      <c r="L16" s="51"/>
      <c r="M16" s="51"/>
      <c r="N16" s="52"/>
      <c r="O16" s="10" t="s">
        <v>13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30" ht="18" customHeight="1" x14ac:dyDescent="0.15">
      <c r="C17" s="58" t="s">
        <v>30</v>
      </c>
      <c r="D17" s="58"/>
      <c r="E17" s="58"/>
      <c r="F17" s="58"/>
      <c r="G17" s="58"/>
      <c r="H17" s="58"/>
      <c r="I17" s="58"/>
      <c r="J17" s="9"/>
      <c r="K17" s="76"/>
      <c r="L17" s="77"/>
      <c r="M17" s="77"/>
      <c r="N17" s="78"/>
      <c r="O17" s="10" t="s">
        <v>13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30" ht="18" customHeight="1" x14ac:dyDescent="0.15">
      <c r="C18" s="49" t="s">
        <v>31</v>
      </c>
      <c r="D18" s="49"/>
      <c r="E18" s="49"/>
      <c r="F18" s="49"/>
      <c r="G18" s="49"/>
      <c r="H18" s="49"/>
      <c r="I18" s="49"/>
      <c r="J18" s="9"/>
      <c r="K18" s="50">
        <f>SUM(K16:N17)</f>
        <v>0</v>
      </c>
      <c r="L18" s="51"/>
      <c r="M18" s="51"/>
      <c r="N18" s="52"/>
      <c r="O18" s="10" t="s">
        <v>13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30" ht="18" customHeight="1" x14ac:dyDescent="0.15">
      <c r="C19" s="14" t="s">
        <v>32</v>
      </c>
    </row>
    <row r="20" spans="1:30" ht="18" customHeight="1" x14ac:dyDescent="0.15">
      <c r="C20" s="14" t="s">
        <v>33</v>
      </c>
    </row>
    <row r="21" spans="1:30" ht="18" customHeight="1" x14ac:dyDescent="0.15">
      <c r="C21" s="14" t="s">
        <v>34</v>
      </c>
    </row>
    <row r="22" spans="1:30" ht="12" customHeight="1" x14ac:dyDescent="0.15">
      <c r="AD22" s="15"/>
    </row>
    <row r="23" spans="1:30" ht="18" customHeight="1" x14ac:dyDescent="0.15">
      <c r="A23" s="6" t="s">
        <v>35</v>
      </c>
      <c r="B23" s="2" t="s">
        <v>36</v>
      </c>
    </row>
    <row r="24" spans="1:30" ht="12" customHeight="1" x14ac:dyDescent="0.15">
      <c r="A24" s="6"/>
    </row>
    <row r="25" spans="1:30" ht="18" customHeight="1" x14ac:dyDescent="0.15">
      <c r="C25" s="2" t="s">
        <v>37</v>
      </c>
    </row>
    <row r="26" spans="1:30" ht="18" customHeight="1" x14ac:dyDescent="0.15">
      <c r="C26" s="2" t="s">
        <v>38</v>
      </c>
      <c r="D26" s="3" t="s">
        <v>14</v>
      </c>
      <c r="E26" s="45" t="str">
        <f>V8</f>
        <v xml:space="preserve"> </v>
      </c>
      <c r="F26" s="45"/>
      <c r="G26" s="45"/>
      <c r="H26" s="3" t="s">
        <v>39</v>
      </c>
      <c r="I26" s="3" t="s">
        <v>16</v>
      </c>
      <c r="J26" s="45" t="str">
        <f>V9</f>
        <v xml:space="preserve"> </v>
      </c>
      <c r="K26" s="45"/>
      <c r="L26" s="45"/>
      <c r="M26" s="3" t="s">
        <v>39</v>
      </c>
      <c r="N26" s="3" t="s">
        <v>18</v>
      </c>
      <c r="O26" s="45" t="str">
        <f>V10</f>
        <v xml:space="preserve"> </v>
      </c>
      <c r="P26" s="45"/>
      <c r="Q26" s="45"/>
      <c r="R26" s="3" t="s">
        <v>39</v>
      </c>
      <c r="S26" s="3" t="s">
        <v>20</v>
      </c>
      <c r="T26" s="45" t="str">
        <f>V11</f>
        <v xml:space="preserve"> </v>
      </c>
      <c r="U26" s="45"/>
      <c r="V26" s="45"/>
      <c r="W26" s="16" t="s">
        <v>40</v>
      </c>
    </row>
    <row r="27" spans="1:30" ht="18" customHeight="1" x14ac:dyDescent="0.15">
      <c r="C27" s="7" t="s">
        <v>41</v>
      </c>
      <c r="D27" s="3" t="s">
        <v>23</v>
      </c>
      <c r="E27" s="45" t="str">
        <f>V12</f>
        <v xml:space="preserve"> </v>
      </c>
      <c r="F27" s="45"/>
      <c r="G27" s="45"/>
      <c r="H27" s="3" t="s">
        <v>42</v>
      </c>
      <c r="I27" s="3" t="s">
        <v>25</v>
      </c>
      <c r="J27" s="45" t="str">
        <f>V13</f>
        <v xml:space="preserve"> </v>
      </c>
      <c r="K27" s="45"/>
      <c r="L27" s="45"/>
      <c r="M27" s="16" t="s">
        <v>43</v>
      </c>
      <c r="N27" s="3" t="s">
        <v>44</v>
      </c>
      <c r="O27" s="73">
        <v>0.5</v>
      </c>
      <c r="P27" s="73"/>
      <c r="Q27" s="2" t="s">
        <v>45</v>
      </c>
      <c r="R27" s="3" t="s">
        <v>46</v>
      </c>
      <c r="S27" s="3" t="s">
        <v>47</v>
      </c>
      <c r="T27" s="45">
        <f>SUM(V8:Y11)+(SUM(V12,V13))*O27</f>
        <v>0</v>
      </c>
      <c r="U27" s="47"/>
      <c r="V27" s="47"/>
      <c r="W27" s="47"/>
      <c r="X27" s="2" t="s">
        <v>48</v>
      </c>
    </row>
    <row r="28" spans="1:30" ht="18" customHeight="1" x14ac:dyDescent="0.15">
      <c r="C28" s="2" t="s">
        <v>49</v>
      </c>
    </row>
    <row r="29" spans="1:30" ht="18" customHeight="1" x14ac:dyDescent="0.15">
      <c r="C29" s="2" t="s">
        <v>50</v>
      </c>
    </row>
    <row r="30" spans="1:30" ht="12" customHeight="1" x14ac:dyDescent="0.15"/>
    <row r="31" spans="1:30" ht="18" customHeight="1" x14ac:dyDescent="0.15">
      <c r="A31" s="6" t="s">
        <v>51</v>
      </c>
      <c r="B31" s="2" t="s">
        <v>52</v>
      </c>
    </row>
    <row r="32" spans="1:30" ht="18" customHeight="1" x14ac:dyDescent="0.15">
      <c r="C32" s="2" t="s">
        <v>53</v>
      </c>
    </row>
    <row r="33" spans="1:30" ht="18" customHeight="1" x14ac:dyDescent="0.15">
      <c r="C33" s="2" t="s">
        <v>54</v>
      </c>
      <c r="Z33" s="8"/>
    </row>
    <row r="34" spans="1:30" ht="12" customHeight="1" x14ac:dyDescent="0.15">
      <c r="Z34" s="8" t="s">
        <v>55</v>
      </c>
    </row>
    <row r="35" spans="1:30" ht="18" customHeight="1" x14ac:dyDescent="0.15">
      <c r="C35" s="49" t="s">
        <v>56</v>
      </c>
      <c r="D35" s="49"/>
      <c r="E35" s="49"/>
      <c r="F35" s="49"/>
      <c r="G35" s="49"/>
      <c r="H35" s="49"/>
      <c r="I35" s="49"/>
      <c r="J35" s="49"/>
      <c r="K35" s="49"/>
      <c r="L35" s="49"/>
      <c r="M35" s="49" t="s">
        <v>57</v>
      </c>
      <c r="N35" s="49"/>
      <c r="O35" s="49"/>
      <c r="P35" s="49"/>
      <c r="Q35" s="49"/>
      <c r="R35" s="49"/>
      <c r="S35" s="49"/>
      <c r="T35" s="49"/>
      <c r="U35" s="49" t="s">
        <v>58</v>
      </c>
      <c r="V35" s="49"/>
      <c r="W35" s="49"/>
      <c r="X35" s="49"/>
      <c r="Y35" s="49"/>
      <c r="Z35" s="49"/>
    </row>
    <row r="36" spans="1:30" ht="18" customHeight="1" x14ac:dyDescent="0.15">
      <c r="C36" s="60" t="s">
        <v>59</v>
      </c>
      <c r="D36" s="60"/>
      <c r="E36" s="60"/>
      <c r="F36" s="60"/>
      <c r="G36" s="60"/>
      <c r="H36" s="60"/>
      <c r="I36" s="60"/>
      <c r="J36" s="60"/>
      <c r="K36" s="60"/>
      <c r="L36" s="60"/>
      <c r="M36" s="9"/>
      <c r="N36" s="70" t="str">
        <f>IF(K9=0," ",IF(V9&gt;10000,10000,V9))</f>
        <v xml:space="preserve"> </v>
      </c>
      <c r="O36" s="71"/>
      <c r="P36" s="71"/>
      <c r="Q36" s="72"/>
      <c r="R36" s="17" t="s">
        <v>13</v>
      </c>
      <c r="S36" s="18" t="s">
        <v>60</v>
      </c>
      <c r="T36" s="13"/>
      <c r="U36" s="9"/>
      <c r="V36" s="70" t="str">
        <f>IF(K9=0," ",ROUND(N36*1,2))</f>
        <v xml:space="preserve"> </v>
      </c>
      <c r="W36" s="71"/>
      <c r="X36" s="71"/>
      <c r="Y36" s="72"/>
      <c r="Z36" s="10" t="s">
        <v>13</v>
      </c>
    </row>
    <row r="37" spans="1:30" ht="18" customHeight="1" x14ac:dyDescent="0.15">
      <c r="C37" s="60" t="s">
        <v>61</v>
      </c>
      <c r="D37" s="60"/>
      <c r="E37" s="60"/>
      <c r="F37" s="60"/>
      <c r="G37" s="60"/>
      <c r="H37" s="60"/>
      <c r="I37" s="60"/>
      <c r="J37" s="60"/>
      <c r="K37" s="60"/>
      <c r="L37" s="60"/>
      <c r="M37" s="9"/>
      <c r="N37" s="70" t="str">
        <f>IF(K9=0," ",IF(V9&gt;10000,IF(V9&gt;50000,40000,V9-10000),0))</f>
        <v xml:space="preserve"> </v>
      </c>
      <c r="O37" s="71"/>
      <c r="P37" s="71"/>
      <c r="Q37" s="72"/>
      <c r="R37" s="17" t="s">
        <v>13</v>
      </c>
      <c r="S37" s="18" t="s">
        <v>62</v>
      </c>
      <c r="T37" s="13"/>
      <c r="U37" s="9"/>
      <c r="V37" s="70" t="str">
        <f>IF(K9=0," ",ROUND(N37*0.7,2))</f>
        <v xml:space="preserve"> </v>
      </c>
      <c r="W37" s="71"/>
      <c r="X37" s="71"/>
      <c r="Y37" s="72"/>
      <c r="Z37" s="10" t="s">
        <v>13</v>
      </c>
      <c r="AD37" s="19"/>
    </row>
    <row r="38" spans="1:30" ht="18" customHeight="1" x14ac:dyDescent="0.15">
      <c r="C38" s="60" t="s">
        <v>63</v>
      </c>
      <c r="D38" s="60"/>
      <c r="E38" s="60"/>
      <c r="F38" s="60"/>
      <c r="G38" s="60"/>
      <c r="H38" s="60"/>
      <c r="I38" s="60"/>
      <c r="J38" s="60"/>
      <c r="K38" s="60"/>
      <c r="L38" s="60"/>
      <c r="M38" s="9"/>
      <c r="N38" s="70" t="str">
        <f>IF(K9=0," ",IF(V9&gt;50000,IF(V9&gt;100000,50000,V9-50000),0))</f>
        <v xml:space="preserve"> </v>
      </c>
      <c r="O38" s="71"/>
      <c r="P38" s="71"/>
      <c r="Q38" s="72"/>
      <c r="R38" s="17" t="s">
        <v>13</v>
      </c>
      <c r="S38" s="18" t="s">
        <v>64</v>
      </c>
      <c r="T38" s="13"/>
      <c r="U38" s="9"/>
      <c r="V38" s="70" t="str">
        <f>IF(K9=0," ",ROUND(N38*0.6,2))</f>
        <v xml:space="preserve"> </v>
      </c>
      <c r="W38" s="71"/>
      <c r="X38" s="71"/>
      <c r="Y38" s="72"/>
      <c r="Z38" s="10" t="s">
        <v>13</v>
      </c>
    </row>
    <row r="39" spans="1:30" ht="18" customHeight="1" x14ac:dyDescent="0.15">
      <c r="C39" s="60" t="s">
        <v>65</v>
      </c>
      <c r="D39" s="60"/>
      <c r="E39" s="60"/>
      <c r="F39" s="60"/>
      <c r="G39" s="60"/>
      <c r="H39" s="60"/>
      <c r="I39" s="60"/>
      <c r="J39" s="60"/>
      <c r="K39" s="60"/>
      <c r="L39" s="60"/>
      <c r="M39" s="9"/>
      <c r="N39" s="70" t="str">
        <f>IF(K9=0," ",IF(V9&gt;100000,V9-100000,0))</f>
        <v xml:space="preserve"> </v>
      </c>
      <c r="O39" s="71"/>
      <c r="P39" s="71"/>
      <c r="Q39" s="72"/>
      <c r="R39" s="17" t="s">
        <v>13</v>
      </c>
      <c r="S39" s="18" t="s">
        <v>66</v>
      </c>
      <c r="T39" s="13"/>
      <c r="U39" s="9"/>
      <c r="V39" s="70" t="str">
        <f>IF(K9=0," ",ROUND(N39*0.5,2))</f>
        <v xml:space="preserve"> </v>
      </c>
      <c r="W39" s="71"/>
      <c r="X39" s="71"/>
      <c r="Y39" s="72"/>
      <c r="Z39" s="10" t="s">
        <v>13</v>
      </c>
    </row>
    <row r="40" spans="1:30" ht="18" customHeight="1" x14ac:dyDescent="0.15">
      <c r="C40" s="49" t="s">
        <v>67</v>
      </c>
      <c r="D40" s="49"/>
      <c r="E40" s="49"/>
      <c r="F40" s="49"/>
      <c r="G40" s="49"/>
      <c r="H40" s="49"/>
      <c r="I40" s="49"/>
      <c r="J40" s="49"/>
      <c r="K40" s="42"/>
      <c r="L40" s="18"/>
      <c r="M40" s="20" t="s">
        <v>16</v>
      </c>
      <c r="N40" s="70" t="str">
        <f>IF(K9=0," ",SUM(N36:Q39))</f>
        <v xml:space="preserve"> </v>
      </c>
      <c r="O40" s="71"/>
      <c r="P40" s="71"/>
      <c r="Q40" s="72"/>
      <c r="R40" s="17" t="s">
        <v>13</v>
      </c>
      <c r="S40" s="21"/>
      <c r="T40" s="18"/>
      <c r="U40" s="22" t="s">
        <v>68</v>
      </c>
      <c r="V40" s="70" t="str">
        <f>IF(K9=0," ",SUM(V36:Y39))</f>
        <v xml:space="preserve"> </v>
      </c>
      <c r="W40" s="71"/>
      <c r="X40" s="71"/>
      <c r="Y40" s="72"/>
      <c r="Z40" s="10" t="s">
        <v>13</v>
      </c>
    </row>
    <row r="41" spans="1:30" ht="12" customHeight="1" x14ac:dyDescent="0.15"/>
    <row r="42" spans="1:30" ht="18" customHeight="1" x14ac:dyDescent="0.15">
      <c r="A42" s="6" t="s">
        <v>69</v>
      </c>
      <c r="B42" s="2" t="s">
        <v>70</v>
      </c>
    </row>
    <row r="43" spans="1:30" ht="12" customHeight="1" x14ac:dyDescent="0.15">
      <c r="A43" s="6"/>
    </row>
    <row r="44" spans="1:30" ht="18" customHeight="1" x14ac:dyDescent="0.15">
      <c r="B44" s="2" t="s">
        <v>71</v>
      </c>
    </row>
    <row r="45" spans="1:30" ht="18" customHeight="1" x14ac:dyDescent="0.15">
      <c r="C45" s="49" t="s">
        <v>7</v>
      </c>
      <c r="D45" s="49"/>
      <c r="E45" s="49"/>
      <c r="F45" s="49"/>
      <c r="G45" s="49"/>
      <c r="H45" s="49"/>
      <c r="I45" s="49"/>
      <c r="J45" s="49" t="s">
        <v>72</v>
      </c>
      <c r="K45" s="49"/>
      <c r="L45" s="49"/>
      <c r="M45" s="49"/>
      <c r="N45" s="49"/>
      <c r="O45" s="49"/>
      <c r="P45" s="61" t="s">
        <v>73</v>
      </c>
      <c r="Q45" s="62"/>
      <c r="R45" s="62"/>
      <c r="S45" s="62"/>
      <c r="T45" s="62"/>
      <c r="U45" s="42" t="s">
        <v>74</v>
      </c>
      <c r="V45" s="43"/>
      <c r="W45" s="43"/>
      <c r="X45" s="43"/>
      <c r="Y45" s="43"/>
      <c r="Z45" s="44"/>
    </row>
    <row r="46" spans="1:30" ht="18" customHeight="1" x14ac:dyDescent="0.15">
      <c r="C46" s="59" t="s">
        <v>11</v>
      </c>
      <c r="D46" s="49"/>
      <c r="E46" s="60" t="s">
        <v>12</v>
      </c>
      <c r="F46" s="60"/>
      <c r="G46" s="60"/>
      <c r="H46" s="60"/>
      <c r="I46" s="60"/>
      <c r="J46" s="11" t="s">
        <v>14</v>
      </c>
      <c r="K46" s="50" t="str">
        <f>IF(T27&gt;1000,V8," ")</f>
        <v xml:space="preserve"> </v>
      </c>
      <c r="L46" s="51"/>
      <c r="M46" s="51"/>
      <c r="N46" s="52"/>
      <c r="O46" s="10" t="s">
        <v>48</v>
      </c>
      <c r="P46" s="56" t="s">
        <v>75</v>
      </c>
      <c r="Q46" s="56"/>
      <c r="R46" s="56"/>
      <c r="S46" s="56"/>
      <c r="T46" s="57"/>
      <c r="U46" s="11"/>
      <c r="V46" s="50" t="str">
        <f>IF($T$27&gt;1000,IF(K8=0," ",(K46/300))," ")</f>
        <v xml:space="preserve"> </v>
      </c>
      <c r="W46" s="51"/>
      <c r="X46" s="51"/>
      <c r="Y46" s="52"/>
      <c r="Z46" s="10" t="s">
        <v>76</v>
      </c>
    </row>
    <row r="47" spans="1:30" ht="18" customHeight="1" x14ac:dyDescent="0.15">
      <c r="C47" s="49"/>
      <c r="D47" s="49"/>
      <c r="E47" s="58" t="s">
        <v>15</v>
      </c>
      <c r="F47" s="58"/>
      <c r="G47" s="58"/>
      <c r="H47" s="58"/>
      <c r="I47" s="58"/>
      <c r="J47" s="11" t="s">
        <v>77</v>
      </c>
      <c r="K47" s="50" t="str">
        <f>IF(T27&gt;1000,V40," ")</f>
        <v xml:space="preserve"> </v>
      </c>
      <c r="L47" s="51"/>
      <c r="M47" s="51"/>
      <c r="N47" s="52"/>
      <c r="O47" s="10" t="s">
        <v>13</v>
      </c>
      <c r="P47" s="56" t="s">
        <v>75</v>
      </c>
      <c r="Q47" s="56"/>
      <c r="R47" s="56"/>
      <c r="S47" s="56"/>
      <c r="T47" s="57"/>
      <c r="U47" s="11"/>
      <c r="V47" s="50" t="str">
        <f>IF($T$27&gt;1000,IF(K9=0," ",(K47/300))," ")</f>
        <v xml:space="preserve"> </v>
      </c>
      <c r="W47" s="51"/>
      <c r="X47" s="51"/>
      <c r="Y47" s="52"/>
      <c r="Z47" s="10" t="s">
        <v>76</v>
      </c>
    </row>
    <row r="48" spans="1:30" ht="18" customHeight="1" x14ac:dyDescent="0.15">
      <c r="C48" s="49"/>
      <c r="D48" s="49"/>
      <c r="E48" s="58" t="s">
        <v>17</v>
      </c>
      <c r="F48" s="58"/>
      <c r="G48" s="58"/>
      <c r="H48" s="58"/>
      <c r="I48" s="58"/>
      <c r="J48" s="11" t="s">
        <v>18</v>
      </c>
      <c r="K48" s="50" t="str">
        <f>IF(T27&gt;1000,V10," ")</f>
        <v xml:space="preserve"> </v>
      </c>
      <c r="L48" s="51"/>
      <c r="M48" s="51"/>
      <c r="N48" s="52"/>
      <c r="O48" s="10" t="s">
        <v>13</v>
      </c>
      <c r="P48" s="56" t="s">
        <v>75</v>
      </c>
      <c r="Q48" s="56"/>
      <c r="R48" s="56"/>
      <c r="S48" s="56"/>
      <c r="T48" s="57"/>
      <c r="U48" s="11"/>
      <c r="V48" s="50" t="str">
        <f>IF($T$27&gt;1000,IF(K10=0," ",(K48/300))," ")</f>
        <v xml:space="preserve"> </v>
      </c>
      <c r="W48" s="51"/>
      <c r="X48" s="51"/>
      <c r="Y48" s="52"/>
      <c r="Z48" s="10" t="s">
        <v>76</v>
      </c>
    </row>
    <row r="49" spans="2:28" ht="18" customHeight="1" x14ac:dyDescent="0.15">
      <c r="C49" s="49"/>
      <c r="D49" s="49"/>
      <c r="E49" s="58" t="s">
        <v>19</v>
      </c>
      <c r="F49" s="58"/>
      <c r="G49" s="58"/>
      <c r="H49" s="58"/>
      <c r="I49" s="58"/>
      <c r="J49" s="11" t="s">
        <v>20</v>
      </c>
      <c r="K49" s="50" t="str">
        <f>IF(T27&gt;1000,V11," ")</f>
        <v xml:space="preserve"> </v>
      </c>
      <c r="L49" s="51"/>
      <c r="M49" s="51"/>
      <c r="N49" s="52"/>
      <c r="O49" s="10" t="s">
        <v>13</v>
      </c>
      <c r="P49" s="56" t="s">
        <v>75</v>
      </c>
      <c r="Q49" s="56"/>
      <c r="R49" s="56"/>
      <c r="S49" s="56"/>
      <c r="T49" s="57"/>
      <c r="U49" s="11"/>
      <c r="V49" s="50" t="str">
        <f>IF($T$27&gt;1000,IF(K11=0," ",(K49/300))," ")</f>
        <v xml:space="preserve"> </v>
      </c>
      <c r="W49" s="51"/>
      <c r="X49" s="51"/>
      <c r="Y49" s="52"/>
      <c r="Z49" s="10" t="s">
        <v>76</v>
      </c>
    </row>
    <row r="50" spans="2:28" ht="18" customHeight="1" x14ac:dyDescent="0.15">
      <c r="C50" s="65" t="s">
        <v>21</v>
      </c>
      <c r="D50" s="66"/>
      <c r="E50" s="58" t="s">
        <v>22</v>
      </c>
      <c r="F50" s="58"/>
      <c r="G50" s="58"/>
      <c r="H50" s="58"/>
      <c r="I50" s="58"/>
      <c r="J50" s="11" t="s">
        <v>23</v>
      </c>
      <c r="K50" s="50" t="str">
        <f>IF(T27&gt;1000,V12," ")</f>
        <v xml:space="preserve"> </v>
      </c>
      <c r="L50" s="51"/>
      <c r="M50" s="51"/>
      <c r="N50" s="52"/>
      <c r="O50" s="10" t="s">
        <v>13</v>
      </c>
      <c r="P50" s="56" t="s">
        <v>78</v>
      </c>
      <c r="Q50" s="56"/>
      <c r="R50" s="56"/>
      <c r="S50" s="56"/>
      <c r="T50" s="57"/>
      <c r="U50" s="11"/>
      <c r="V50" s="50" t="str">
        <f>IF(T27&gt;1000,IF(K12=0," ",ROUND(K50/450,2))," ")</f>
        <v xml:space="preserve"> </v>
      </c>
      <c r="W50" s="51"/>
      <c r="X50" s="51"/>
      <c r="Y50" s="52"/>
      <c r="Z50" s="10" t="s">
        <v>76</v>
      </c>
    </row>
    <row r="51" spans="2:28" ht="18" customHeight="1" x14ac:dyDescent="0.15">
      <c r="C51" s="66"/>
      <c r="D51" s="66"/>
      <c r="E51" s="58" t="s">
        <v>24</v>
      </c>
      <c r="F51" s="58"/>
      <c r="G51" s="58"/>
      <c r="H51" s="58"/>
      <c r="I51" s="58"/>
      <c r="J51" s="11" t="s">
        <v>25</v>
      </c>
      <c r="K51" s="67" t="s">
        <v>79</v>
      </c>
      <c r="L51" s="67"/>
      <c r="M51" s="67"/>
      <c r="N51" s="67"/>
      <c r="O51" s="23"/>
      <c r="P51" s="68" t="s">
        <v>79</v>
      </c>
      <c r="Q51" s="68"/>
      <c r="R51" s="68"/>
      <c r="S51" s="68"/>
      <c r="T51" s="69"/>
      <c r="U51" s="24"/>
      <c r="V51" s="67" t="s">
        <v>79</v>
      </c>
      <c r="W51" s="67"/>
      <c r="X51" s="67"/>
      <c r="Y51" s="67"/>
      <c r="Z51" s="10"/>
    </row>
    <row r="52" spans="2:28" ht="18" customHeight="1" x14ac:dyDescent="0.15">
      <c r="C52" s="49" t="s">
        <v>31</v>
      </c>
      <c r="D52" s="49"/>
      <c r="E52" s="49"/>
      <c r="F52" s="49"/>
      <c r="G52" s="49"/>
      <c r="H52" s="49"/>
      <c r="I52" s="49"/>
      <c r="J52" s="11"/>
      <c r="K52" s="50">
        <f>SUM(K46:N51)</f>
        <v>0</v>
      </c>
      <c r="L52" s="51"/>
      <c r="M52" s="51"/>
      <c r="N52" s="52"/>
      <c r="O52" s="10" t="s">
        <v>80</v>
      </c>
      <c r="P52" s="12"/>
      <c r="Q52" s="25"/>
      <c r="R52" s="25"/>
      <c r="S52" s="25"/>
      <c r="T52" s="17"/>
      <c r="U52" s="11" t="s">
        <v>81</v>
      </c>
      <c r="V52" s="50">
        <f>SUM(V46:Y51)</f>
        <v>0</v>
      </c>
      <c r="W52" s="51"/>
      <c r="X52" s="51"/>
      <c r="Y52" s="52"/>
      <c r="Z52" s="10" t="s">
        <v>76</v>
      </c>
    </row>
    <row r="53" spans="2:28" ht="12" customHeight="1" x14ac:dyDescent="0.15">
      <c r="C53" s="26"/>
      <c r="D53" s="26"/>
      <c r="E53" s="26"/>
      <c r="F53" s="26"/>
      <c r="G53" s="26"/>
      <c r="H53" s="26"/>
      <c r="I53" s="26"/>
      <c r="J53" s="26"/>
    </row>
    <row r="54" spans="2:28" ht="12" customHeight="1" x14ac:dyDescent="0.15">
      <c r="C54" s="26"/>
      <c r="D54" s="26"/>
      <c r="E54" s="26"/>
      <c r="F54" s="26"/>
      <c r="G54" s="26"/>
      <c r="H54" s="26"/>
      <c r="I54" s="26"/>
      <c r="J54" s="26"/>
    </row>
    <row r="55" spans="2:28" ht="18" customHeight="1" x14ac:dyDescent="0.15">
      <c r="B55" s="2" t="s">
        <v>82</v>
      </c>
      <c r="D55" s="26"/>
      <c r="E55" s="26"/>
      <c r="F55" s="27"/>
      <c r="G55" s="26"/>
      <c r="H55" s="26"/>
      <c r="I55" s="27"/>
      <c r="J55" s="26"/>
    </row>
    <row r="56" spans="2:28" ht="12" customHeight="1" x14ac:dyDescent="0.15">
      <c r="D56" s="26"/>
      <c r="E56" s="26"/>
      <c r="F56" s="27"/>
      <c r="G56" s="26"/>
      <c r="H56" s="26"/>
      <c r="I56" s="27"/>
      <c r="J56" s="26"/>
    </row>
    <row r="57" spans="2:28" ht="18" customHeight="1" x14ac:dyDescent="0.15">
      <c r="C57" s="2" t="s">
        <v>83</v>
      </c>
    </row>
    <row r="58" spans="2:28" ht="18" customHeight="1" x14ac:dyDescent="0.15">
      <c r="J58" s="28" t="s">
        <v>84</v>
      </c>
    </row>
    <row r="59" spans="2:28" x14ac:dyDescent="0.15">
      <c r="D59" s="2" t="s">
        <v>85</v>
      </c>
      <c r="G59" s="3">
        <v>1</v>
      </c>
      <c r="H59" s="3" t="s">
        <v>86</v>
      </c>
    </row>
    <row r="60" spans="2:28" ht="18" customHeight="1" x14ac:dyDescent="0.15">
      <c r="J60" s="29" t="s">
        <v>87</v>
      </c>
    </row>
    <row r="61" spans="2:28" ht="18" customHeight="1" x14ac:dyDescent="0.15">
      <c r="G61" s="3"/>
      <c r="H61" s="3"/>
      <c r="J61" s="30" t="s">
        <v>88</v>
      </c>
      <c r="K61" s="30"/>
      <c r="L61" s="30"/>
      <c r="M61" s="30"/>
      <c r="N61" s="30"/>
      <c r="O61" s="30"/>
      <c r="P61" s="53" t="str">
        <f>IF(T27&gt;1000,IF(K16&lt;6000,K16," ")," ")</f>
        <v xml:space="preserve"> </v>
      </c>
      <c r="Q61" s="53"/>
      <c r="R61" s="53"/>
      <c r="S61" s="30" t="s">
        <v>89</v>
      </c>
      <c r="T61" s="30"/>
      <c r="U61" s="30"/>
      <c r="AA61" s="8" t="s">
        <v>90</v>
      </c>
    </row>
    <row r="62" spans="2:28" x14ac:dyDescent="0.15">
      <c r="D62" s="2" t="s">
        <v>91</v>
      </c>
      <c r="G62" s="3">
        <v>1</v>
      </c>
      <c r="H62" s="3" t="s">
        <v>86</v>
      </c>
      <c r="X62" s="3" t="s">
        <v>92</v>
      </c>
      <c r="Y62" s="3" t="s">
        <v>93</v>
      </c>
      <c r="Z62" s="54" t="str">
        <f>IF(T27&gt;1000,IF(K16&lt;6000,ROUND(1-((1000*(6000-K16))/(6000*T27-1000*K16)),6)," ")," ")</f>
        <v xml:space="preserve"> </v>
      </c>
      <c r="AA62" s="54"/>
      <c r="AB62" s="54"/>
    </row>
    <row r="63" spans="2:28" ht="18" customHeight="1" x14ac:dyDescent="0.15">
      <c r="J63" s="29" t="s">
        <v>94</v>
      </c>
      <c r="K63" s="29"/>
      <c r="L63" s="29"/>
      <c r="M63" s="55" t="str">
        <f>IF(T27&gt;1000,IF(K16&lt;6000,T27," ")," ")</f>
        <v xml:space="preserve"> </v>
      </c>
      <c r="N63" s="63"/>
      <c r="O63" s="63"/>
      <c r="P63" s="33" t="s">
        <v>95</v>
      </c>
      <c r="Q63" s="29"/>
      <c r="R63" s="29"/>
      <c r="S63" s="29"/>
      <c r="T63" s="64" t="str">
        <f>P61</f>
        <v xml:space="preserve"> </v>
      </c>
      <c r="U63" s="64"/>
      <c r="V63" s="64"/>
      <c r="W63" s="29" t="s">
        <v>80</v>
      </c>
    </row>
    <row r="64" spans="2:28" ht="9" customHeight="1" x14ac:dyDescent="0.15"/>
    <row r="65" spans="1:26" ht="18" customHeight="1" x14ac:dyDescent="0.15">
      <c r="B65" s="2" t="s">
        <v>96</v>
      </c>
    </row>
    <row r="66" spans="1:26" ht="9" customHeight="1" x14ac:dyDescent="0.15"/>
    <row r="67" spans="1:26" ht="18" customHeight="1" x14ac:dyDescent="0.15">
      <c r="C67" s="2" t="s">
        <v>97</v>
      </c>
      <c r="U67" s="14" t="s">
        <v>98</v>
      </c>
      <c r="Z67" s="8"/>
    </row>
    <row r="68" spans="1:26" ht="18" customHeight="1" x14ac:dyDescent="0.15">
      <c r="E68" s="3" t="s">
        <v>81</v>
      </c>
      <c r="F68" s="45" t="str">
        <f>IF(T27&lt;=1000," ",IF(K16&lt;6000,V52," "))</f>
        <v xml:space="preserve"> </v>
      </c>
      <c r="G68" s="45"/>
      <c r="H68" s="45"/>
      <c r="I68" s="2" t="s">
        <v>99</v>
      </c>
      <c r="K68" s="46" t="str">
        <f>Z62</f>
        <v xml:space="preserve"> </v>
      </c>
      <c r="L68" s="46"/>
      <c r="M68" s="46"/>
      <c r="N68" s="3" t="s">
        <v>92</v>
      </c>
      <c r="O68" s="47" t="str">
        <f>IF(T27&lt;=1000," ",IF(K16&lt;6000,F68*K68," "))</f>
        <v xml:space="preserve"> </v>
      </c>
      <c r="P68" s="47"/>
      <c r="Q68" s="47"/>
      <c r="R68" s="3" t="s">
        <v>76</v>
      </c>
      <c r="S68" s="3" t="s">
        <v>100</v>
      </c>
      <c r="T68" s="3" t="s">
        <v>101</v>
      </c>
      <c r="U68" s="48" t="str">
        <f>IF(T27&lt;=1000," ",IF(K16&lt;6000,ROUNDUP(O68,0)," "))</f>
        <v xml:space="preserve"> </v>
      </c>
      <c r="V68" s="48"/>
      <c r="W68" s="48"/>
      <c r="X68" s="2" t="s">
        <v>76</v>
      </c>
    </row>
    <row r="69" spans="1:26" ht="18" customHeight="1" x14ac:dyDescent="0.15">
      <c r="C69" s="2" t="s">
        <v>102</v>
      </c>
    </row>
    <row r="70" spans="1:26" ht="18" customHeight="1" x14ac:dyDescent="0.15">
      <c r="E70" s="3" t="s">
        <v>81</v>
      </c>
      <c r="F70" s="45" t="str">
        <f>IF(K16&gt;=6000,V52," ")</f>
        <v xml:space="preserve"> </v>
      </c>
      <c r="G70" s="47"/>
      <c r="H70" s="47"/>
      <c r="I70" s="2" t="s">
        <v>76</v>
      </c>
      <c r="S70" s="3" t="s">
        <v>100</v>
      </c>
      <c r="T70" s="3" t="s">
        <v>101</v>
      </c>
      <c r="U70" s="48" t="str">
        <f>IF(K16&gt;=6000,ROUNDUP(F70,0)," ")</f>
        <v xml:space="preserve"> </v>
      </c>
      <c r="V70" s="48"/>
      <c r="W70" s="48"/>
      <c r="X70" s="2" t="s">
        <v>76</v>
      </c>
    </row>
    <row r="71" spans="1:26" ht="8.25" customHeight="1" x14ac:dyDescent="0.15"/>
    <row r="72" spans="1:26" ht="18" customHeight="1" x14ac:dyDescent="0.15">
      <c r="A72" s="6" t="s">
        <v>103</v>
      </c>
      <c r="B72" s="2" t="s">
        <v>104</v>
      </c>
    </row>
    <row r="73" spans="1:26" ht="9" customHeight="1" x14ac:dyDescent="0.15">
      <c r="A73" s="6"/>
    </row>
    <row r="74" spans="1:26" ht="18" customHeight="1" x14ac:dyDescent="0.15">
      <c r="B74" s="2" t="s">
        <v>105</v>
      </c>
    </row>
    <row r="75" spans="1:26" ht="18" customHeight="1" x14ac:dyDescent="0.15">
      <c r="C75" s="2" t="s">
        <v>106</v>
      </c>
    </row>
    <row r="76" spans="1:26" ht="18" customHeight="1" x14ac:dyDescent="0.15">
      <c r="D76" s="2" t="s">
        <v>107</v>
      </c>
      <c r="E76" s="3" t="s">
        <v>14</v>
      </c>
      <c r="F76" s="45" t="str">
        <f>V8</f>
        <v xml:space="preserve"> </v>
      </c>
      <c r="G76" s="45"/>
      <c r="H76" s="45"/>
      <c r="I76" s="3" t="s">
        <v>108</v>
      </c>
      <c r="J76" s="3" t="s">
        <v>16</v>
      </c>
      <c r="K76" s="45" t="str">
        <f>V9</f>
        <v xml:space="preserve"> </v>
      </c>
      <c r="L76" s="45"/>
      <c r="M76" s="45"/>
      <c r="N76" s="3" t="s">
        <v>109</v>
      </c>
      <c r="O76" s="3" t="s">
        <v>18</v>
      </c>
      <c r="P76" s="45" t="str">
        <f>V10</f>
        <v xml:space="preserve"> </v>
      </c>
      <c r="Q76" s="45"/>
      <c r="R76" s="45"/>
      <c r="S76" s="3" t="s">
        <v>109</v>
      </c>
      <c r="T76" s="3" t="s">
        <v>20</v>
      </c>
      <c r="U76" s="45" t="str">
        <f>V11</f>
        <v xml:space="preserve"> </v>
      </c>
      <c r="V76" s="45"/>
      <c r="W76" s="45"/>
      <c r="X76" s="16" t="s">
        <v>110</v>
      </c>
    </row>
    <row r="77" spans="1:26" ht="18" customHeight="1" x14ac:dyDescent="0.15">
      <c r="D77" s="3" t="s">
        <v>111</v>
      </c>
      <c r="E77" s="3" t="s">
        <v>112</v>
      </c>
      <c r="F77" s="45">
        <f>SUM(F76,K76,P76,U76)</f>
        <v>0</v>
      </c>
      <c r="G77" s="47"/>
      <c r="H77" s="47"/>
      <c r="I77" s="47"/>
      <c r="J77" s="2" t="s">
        <v>113</v>
      </c>
    </row>
    <row r="78" spans="1:26" ht="18" customHeight="1" x14ac:dyDescent="0.15">
      <c r="D78" s="2" t="s">
        <v>114</v>
      </c>
    </row>
    <row r="79" spans="1:26" ht="18" customHeight="1" x14ac:dyDescent="0.15">
      <c r="D79" s="2" t="s">
        <v>115</v>
      </c>
    </row>
    <row r="80" spans="1:26" ht="9" customHeight="1" x14ac:dyDescent="0.15"/>
    <row r="81" spans="2:26" ht="18" customHeight="1" x14ac:dyDescent="0.15">
      <c r="B81" s="2" t="s">
        <v>116</v>
      </c>
    </row>
    <row r="82" spans="2:26" ht="18" customHeight="1" x14ac:dyDescent="0.15">
      <c r="C82" s="49" t="s">
        <v>7</v>
      </c>
      <c r="D82" s="49"/>
      <c r="E82" s="49"/>
      <c r="F82" s="49"/>
      <c r="G82" s="49"/>
      <c r="H82" s="49"/>
      <c r="I82" s="49"/>
      <c r="J82" s="49" t="s">
        <v>72</v>
      </c>
      <c r="K82" s="49"/>
      <c r="L82" s="49"/>
      <c r="M82" s="49"/>
      <c r="N82" s="49"/>
      <c r="O82" s="49"/>
      <c r="P82" s="61" t="s">
        <v>73</v>
      </c>
      <c r="Q82" s="62"/>
      <c r="R82" s="62"/>
      <c r="S82" s="62"/>
      <c r="T82" s="62"/>
      <c r="U82" s="42" t="s">
        <v>74</v>
      </c>
      <c r="V82" s="43"/>
      <c r="W82" s="43"/>
      <c r="X82" s="43"/>
      <c r="Y82" s="43"/>
      <c r="Z82" s="44"/>
    </row>
    <row r="83" spans="2:26" ht="18" customHeight="1" x14ac:dyDescent="0.15">
      <c r="C83" s="59" t="s">
        <v>11</v>
      </c>
      <c r="D83" s="49"/>
      <c r="E83" s="60" t="s">
        <v>117</v>
      </c>
      <c r="F83" s="60"/>
      <c r="G83" s="60"/>
      <c r="H83" s="60"/>
      <c r="I83" s="60"/>
      <c r="J83" s="11" t="s">
        <v>14</v>
      </c>
      <c r="K83" s="50" t="str">
        <f>IF(F77&gt;2000,V8," ")</f>
        <v xml:space="preserve"> </v>
      </c>
      <c r="L83" s="51"/>
      <c r="M83" s="51"/>
      <c r="N83" s="52"/>
      <c r="O83" s="10" t="s">
        <v>113</v>
      </c>
      <c r="P83" s="56" t="s">
        <v>118</v>
      </c>
      <c r="Q83" s="56"/>
      <c r="R83" s="56"/>
      <c r="S83" s="56"/>
      <c r="T83" s="57"/>
      <c r="U83" s="11"/>
      <c r="V83" s="50" t="str">
        <f>IF(F77&gt;2000,IF(K8=0," ",ROUND(K83/3000,2))," ")</f>
        <v xml:space="preserve"> </v>
      </c>
      <c r="W83" s="51"/>
      <c r="X83" s="51"/>
      <c r="Y83" s="52"/>
      <c r="Z83" s="10" t="s">
        <v>76</v>
      </c>
    </row>
    <row r="84" spans="2:26" ht="18" customHeight="1" x14ac:dyDescent="0.15">
      <c r="C84" s="49"/>
      <c r="D84" s="49"/>
      <c r="E84" s="58" t="s">
        <v>15</v>
      </c>
      <c r="F84" s="58"/>
      <c r="G84" s="58"/>
      <c r="H84" s="58"/>
      <c r="I84" s="58"/>
      <c r="J84" s="11" t="s">
        <v>119</v>
      </c>
      <c r="K84" s="50" t="str">
        <f>IF(F77&gt;2000,V40," ")</f>
        <v xml:space="preserve"> </v>
      </c>
      <c r="L84" s="51"/>
      <c r="M84" s="51"/>
      <c r="N84" s="52"/>
      <c r="O84" s="10" t="s">
        <v>13</v>
      </c>
      <c r="P84" s="56" t="s">
        <v>120</v>
      </c>
      <c r="Q84" s="56"/>
      <c r="R84" s="56"/>
      <c r="S84" s="56"/>
      <c r="T84" s="57"/>
      <c r="U84" s="11"/>
      <c r="V84" s="50" t="str">
        <f>IF(F77&gt;2000,IF(K9=0," ",ROUND(K84/5000,2))," ")</f>
        <v xml:space="preserve"> </v>
      </c>
      <c r="W84" s="51"/>
      <c r="X84" s="51"/>
      <c r="Y84" s="52"/>
      <c r="Z84" s="10" t="s">
        <v>76</v>
      </c>
    </row>
    <row r="85" spans="2:26" ht="18" customHeight="1" x14ac:dyDescent="0.15">
      <c r="C85" s="49"/>
      <c r="D85" s="49"/>
      <c r="E85" s="58" t="s">
        <v>17</v>
      </c>
      <c r="F85" s="58"/>
      <c r="G85" s="58"/>
      <c r="H85" s="58"/>
      <c r="I85" s="58"/>
      <c r="J85" s="11" t="s">
        <v>18</v>
      </c>
      <c r="K85" s="50" t="str">
        <f>IF(F77&gt;2000,V10," ")</f>
        <v xml:space="preserve"> </v>
      </c>
      <c r="L85" s="51"/>
      <c r="M85" s="51"/>
      <c r="N85" s="52"/>
      <c r="O85" s="10" t="s">
        <v>13</v>
      </c>
      <c r="P85" s="56" t="s">
        <v>121</v>
      </c>
      <c r="Q85" s="56"/>
      <c r="R85" s="56"/>
      <c r="S85" s="56"/>
      <c r="T85" s="57"/>
      <c r="U85" s="11"/>
      <c r="V85" s="50" t="str">
        <f>IF(F77&gt;2000,IF(K10=0," ",ROUND(K85/1500,2))," ")</f>
        <v xml:space="preserve"> </v>
      </c>
      <c r="W85" s="51"/>
      <c r="X85" s="51"/>
      <c r="Y85" s="52"/>
      <c r="Z85" s="10" t="s">
        <v>76</v>
      </c>
    </row>
    <row r="86" spans="2:26" ht="18" customHeight="1" x14ac:dyDescent="0.15">
      <c r="C86" s="49"/>
      <c r="D86" s="49"/>
      <c r="E86" s="58" t="s">
        <v>19</v>
      </c>
      <c r="F86" s="58"/>
      <c r="G86" s="58"/>
      <c r="H86" s="58"/>
      <c r="I86" s="58"/>
      <c r="J86" s="11" t="s">
        <v>20</v>
      </c>
      <c r="K86" s="50" t="str">
        <f>IF(F77&gt;2000,V11," ")</f>
        <v xml:space="preserve"> </v>
      </c>
      <c r="L86" s="51"/>
      <c r="M86" s="51"/>
      <c r="N86" s="52"/>
      <c r="O86" s="10" t="s">
        <v>13</v>
      </c>
      <c r="P86" s="56" t="s">
        <v>122</v>
      </c>
      <c r="Q86" s="56"/>
      <c r="R86" s="56"/>
      <c r="S86" s="56"/>
      <c r="T86" s="57"/>
      <c r="U86" s="11"/>
      <c r="V86" s="50" t="str">
        <f>IF(F77&gt;2000,IF(K11=0," ",ROUND(K86/4000,2))," ")</f>
        <v xml:space="preserve"> </v>
      </c>
      <c r="W86" s="51"/>
      <c r="X86" s="51"/>
      <c r="Y86" s="52"/>
      <c r="Z86" s="10" t="s">
        <v>76</v>
      </c>
    </row>
    <row r="87" spans="2:26" ht="18" customHeight="1" x14ac:dyDescent="0.15">
      <c r="C87" s="49" t="s">
        <v>31</v>
      </c>
      <c r="D87" s="49"/>
      <c r="E87" s="49"/>
      <c r="F87" s="49"/>
      <c r="G87" s="49"/>
      <c r="H87" s="49"/>
      <c r="I87" s="49"/>
      <c r="J87" s="11"/>
      <c r="K87" s="50">
        <f>SUM(K83:N86)</f>
        <v>0</v>
      </c>
      <c r="L87" s="51"/>
      <c r="M87" s="51"/>
      <c r="N87" s="52"/>
      <c r="O87" s="10" t="s">
        <v>80</v>
      </c>
      <c r="P87" s="12"/>
      <c r="Q87" s="25"/>
      <c r="R87" s="25"/>
      <c r="S87" s="25"/>
      <c r="T87" s="17"/>
      <c r="U87" s="11" t="s">
        <v>123</v>
      </c>
      <c r="V87" s="50">
        <f>SUM(V83:Y86)</f>
        <v>0</v>
      </c>
      <c r="W87" s="51"/>
      <c r="X87" s="51"/>
      <c r="Y87" s="52"/>
      <c r="Z87" s="10" t="s">
        <v>76</v>
      </c>
    </row>
    <row r="88" spans="2:26" ht="9" customHeight="1" x14ac:dyDescent="0.15"/>
    <row r="89" spans="2:26" ht="18" customHeight="1" x14ac:dyDescent="0.15">
      <c r="B89" s="2" t="s">
        <v>124</v>
      </c>
      <c r="D89" s="26"/>
      <c r="E89" s="26"/>
      <c r="F89" s="27"/>
      <c r="G89" s="26"/>
      <c r="H89" s="26"/>
      <c r="I89" s="27"/>
      <c r="J89" s="26"/>
    </row>
    <row r="90" spans="2:26" ht="18" customHeight="1" x14ac:dyDescent="0.15">
      <c r="C90" s="2" t="s">
        <v>125</v>
      </c>
    </row>
    <row r="91" spans="2:26" ht="18" customHeight="1" x14ac:dyDescent="0.15">
      <c r="J91" s="28" t="s">
        <v>126</v>
      </c>
    </row>
    <row r="92" spans="2:26" x14ac:dyDescent="0.15">
      <c r="D92" s="2" t="s">
        <v>85</v>
      </c>
      <c r="G92" s="3">
        <v>1</v>
      </c>
      <c r="H92" s="3" t="s">
        <v>86</v>
      </c>
    </row>
    <row r="93" spans="2:26" ht="18" customHeight="1" x14ac:dyDescent="0.15">
      <c r="K93" s="29" t="s">
        <v>127</v>
      </c>
    </row>
    <row r="94" spans="2:26" ht="18" customHeight="1" x14ac:dyDescent="0.15">
      <c r="G94" s="3"/>
      <c r="H94" s="3"/>
      <c r="J94" s="30" t="s">
        <v>128</v>
      </c>
      <c r="K94" s="30"/>
      <c r="L94" s="30"/>
      <c r="M94" s="53" t="str">
        <f>IF(F77&gt;2000,IF(F77&lt;6000,F77," ")," ")</f>
        <v xml:space="preserve"> </v>
      </c>
      <c r="N94" s="53"/>
      <c r="O94" s="53"/>
      <c r="P94" s="30" t="s">
        <v>80</v>
      </c>
      <c r="Q94" s="31"/>
      <c r="R94" s="31"/>
      <c r="S94" s="30"/>
      <c r="T94" s="30"/>
      <c r="U94" s="30"/>
      <c r="V94" s="14" t="s">
        <v>129</v>
      </c>
    </row>
    <row r="95" spans="2:26" x14ac:dyDescent="0.15">
      <c r="D95" s="2" t="s">
        <v>91</v>
      </c>
      <c r="G95" s="3">
        <v>1</v>
      </c>
      <c r="H95" s="3" t="s">
        <v>130</v>
      </c>
      <c r="T95" s="3" t="s">
        <v>92</v>
      </c>
      <c r="U95" s="3" t="s">
        <v>131</v>
      </c>
      <c r="V95" s="54" t="str">
        <f>IF(F77&gt;2000,IF(F77&lt;6000,ROUND(1-(6000-F77)/(2*F77),5)," ")," ")</f>
        <v xml:space="preserve"> </v>
      </c>
      <c r="W95" s="54"/>
      <c r="X95" s="54"/>
    </row>
    <row r="96" spans="2:26" ht="18" customHeight="1" x14ac:dyDescent="0.15">
      <c r="J96" s="29"/>
      <c r="K96" s="32" t="s">
        <v>132</v>
      </c>
      <c r="L96" s="55" t="str">
        <f>M94</f>
        <v xml:space="preserve"> </v>
      </c>
      <c r="M96" s="55"/>
      <c r="N96" s="55"/>
      <c r="O96" s="29"/>
      <c r="P96" s="33"/>
      <c r="Q96" s="29"/>
      <c r="R96" s="29"/>
      <c r="S96" s="29"/>
      <c r="T96" s="34"/>
      <c r="U96" s="34"/>
      <c r="V96" s="34"/>
      <c r="W96" s="29"/>
    </row>
    <row r="97" spans="1:28" ht="9" customHeight="1" x14ac:dyDescent="0.15"/>
    <row r="98" spans="1:28" ht="18" customHeight="1" x14ac:dyDescent="0.15">
      <c r="B98" s="2" t="s">
        <v>133</v>
      </c>
    </row>
    <row r="99" spans="1:28" ht="18" customHeight="1" x14ac:dyDescent="0.15">
      <c r="C99" s="2" t="s">
        <v>97</v>
      </c>
      <c r="U99" s="14" t="s">
        <v>98</v>
      </c>
      <c r="Z99" s="8"/>
    </row>
    <row r="100" spans="1:28" ht="18" customHeight="1" x14ac:dyDescent="0.15">
      <c r="E100" s="3" t="s">
        <v>123</v>
      </c>
      <c r="F100" s="45" t="str">
        <f>IF(F77&gt;2000,IF(F77&lt;6000,V87," ")," ")</f>
        <v xml:space="preserve"> </v>
      </c>
      <c r="G100" s="45"/>
      <c r="H100" s="45"/>
      <c r="I100" s="2" t="s">
        <v>134</v>
      </c>
      <c r="K100" s="46" t="str">
        <f>IF(V95&lt;=0," ",V95)</f>
        <v xml:space="preserve"> </v>
      </c>
      <c r="L100" s="46"/>
      <c r="M100" s="46"/>
      <c r="N100" s="3" t="s">
        <v>135</v>
      </c>
      <c r="O100" s="47" t="str">
        <f>IF(F100=" "," ",F100*K100)</f>
        <v xml:space="preserve"> </v>
      </c>
      <c r="P100" s="47"/>
      <c r="Q100" s="47"/>
      <c r="R100" s="3" t="s">
        <v>76</v>
      </c>
      <c r="S100" s="3" t="s">
        <v>100</v>
      </c>
      <c r="T100" s="3" t="s">
        <v>136</v>
      </c>
      <c r="U100" s="48" t="str">
        <f>IF(O100=" "," ",ROUNDUP(O100,0))</f>
        <v xml:space="preserve"> </v>
      </c>
      <c r="V100" s="48"/>
      <c r="W100" s="48"/>
      <c r="X100" s="2" t="s">
        <v>76</v>
      </c>
    </row>
    <row r="101" spans="1:28" ht="18" customHeight="1" x14ac:dyDescent="0.15">
      <c r="C101" s="2" t="s">
        <v>102</v>
      </c>
    </row>
    <row r="102" spans="1:28" ht="18" customHeight="1" x14ac:dyDescent="0.15">
      <c r="E102" s="3" t="s">
        <v>137</v>
      </c>
      <c r="F102" s="45" t="str">
        <f>IF(F77&gt;=6000,V87," ")</f>
        <v xml:space="preserve"> </v>
      </c>
      <c r="G102" s="47"/>
      <c r="H102" s="47"/>
      <c r="I102" s="2" t="s">
        <v>76</v>
      </c>
      <c r="S102" s="3" t="s">
        <v>100</v>
      </c>
      <c r="T102" s="3" t="s">
        <v>138</v>
      </c>
      <c r="U102" s="48" t="str">
        <f>IF(F102=" "," ",ROUNDUP(F102,0))</f>
        <v xml:space="preserve"> </v>
      </c>
      <c r="V102" s="48"/>
      <c r="W102" s="48"/>
      <c r="X102" s="2" t="s">
        <v>76</v>
      </c>
    </row>
    <row r="103" spans="1:28" ht="9" customHeight="1" x14ac:dyDescent="0.15"/>
    <row r="104" spans="1:28" ht="18" customHeight="1" x14ac:dyDescent="0.15">
      <c r="A104" s="83" t="s">
        <v>139</v>
      </c>
      <c r="B104" s="84" t="s">
        <v>164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5" t="s">
        <v>165</v>
      </c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8" customHeight="1" x14ac:dyDescent="0.15">
      <c r="A105" s="84"/>
      <c r="B105" s="84"/>
      <c r="C105" s="84" t="s">
        <v>166</v>
      </c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6"/>
      <c r="V105" s="84"/>
      <c r="W105" s="84"/>
      <c r="X105" s="84"/>
      <c r="Y105" s="84"/>
      <c r="Z105" s="87"/>
      <c r="AA105" s="84"/>
      <c r="AB105" s="84"/>
    </row>
    <row r="106" spans="1:28" ht="18" customHeight="1" x14ac:dyDescent="0.15">
      <c r="A106" s="84"/>
      <c r="B106" s="84"/>
      <c r="C106" s="84"/>
      <c r="D106" s="84"/>
      <c r="E106" s="88" t="s">
        <v>101</v>
      </c>
      <c r="F106" s="89" t="str">
        <f>IF(W112&lt;=200,W112," ")</f>
        <v xml:space="preserve"> </v>
      </c>
      <c r="G106" s="89"/>
      <c r="H106" s="89"/>
      <c r="I106" s="84" t="s">
        <v>167</v>
      </c>
      <c r="J106" s="84"/>
      <c r="K106" s="90">
        <f>IF(F106&lt;=0," ",0.02)</f>
        <v>0.02</v>
      </c>
      <c r="L106" s="90"/>
      <c r="M106" s="90"/>
      <c r="N106" s="88" t="s">
        <v>46</v>
      </c>
      <c r="O106" s="91" t="str">
        <f>IF(F106=" "," ",ROUNDUP(F106*K106,2))</f>
        <v xml:space="preserve"> </v>
      </c>
      <c r="P106" s="91"/>
      <c r="Q106" s="91"/>
      <c r="R106" s="88" t="s">
        <v>76</v>
      </c>
      <c r="S106" s="88" t="s">
        <v>100</v>
      </c>
      <c r="T106" s="88" t="s">
        <v>170</v>
      </c>
      <c r="U106" s="92" t="str">
        <f>IF(O106=" "," ",ROUNDUP(O106,0))</f>
        <v xml:space="preserve"> </v>
      </c>
      <c r="V106" s="92"/>
      <c r="W106" s="92"/>
      <c r="X106" s="84" t="s">
        <v>76</v>
      </c>
      <c r="Y106" s="84"/>
      <c r="Z106" s="84"/>
      <c r="AA106" s="84"/>
      <c r="AB106" s="84"/>
    </row>
    <row r="107" spans="1:28" ht="18" customHeight="1" x14ac:dyDescent="0.15">
      <c r="A107" s="84"/>
      <c r="B107" s="84"/>
      <c r="C107" s="84" t="s">
        <v>168</v>
      </c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</row>
    <row r="108" spans="1:28" ht="18" customHeight="1" x14ac:dyDescent="0.15">
      <c r="A108" s="84"/>
      <c r="B108" s="84"/>
      <c r="C108" s="84"/>
      <c r="D108" s="84"/>
      <c r="E108" s="88" t="s">
        <v>101</v>
      </c>
      <c r="F108" s="93" t="str">
        <f>IF(W112&gt;200,W112," ")</f>
        <v xml:space="preserve"> </v>
      </c>
      <c r="G108" s="93"/>
      <c r="H108" s="93"/>
      <c r="I108" s="84" t="s">
        <v>167</v>
      </c>
      <c r="J108" s="84"/>
      <c r="K108" s="90">
        <v>0.01</v>
      </c>
      <c r="L108" s="90"/>
      <c r="M108" s="88" t="s">
        <v>39</v>
      </c>
      <c r="N108" s="88">
        <v>2</v>
      </c>
      <c r="O108" s="88" t="s">
        <v>46</v>
      </c>
      <c r="P108" s="85" t="str">
        <f>IF(F108=" "," ",ROUNDUP(F108*K108+2,2))</f>
        <v xml:space="preserve"> </v>
      </c>
      <c r="Q108" s="85"/>
      <c r="R108" s="88" t="s">
        <v>76</v>
      </c>
      <c r="S108" s="88" t="s">
        <v>100</v>
      </c>
      <c r="T108" s="88" t="s">
        <v>170</v>
      </c>
      <c r="U108" s="92" t="str">
        <f>IF(F108=" "," ",ROUNDUP(F108*K108+2,0))</f>
        <v xml:space="preserve"> </v>
      </c>
      <c r="V108" s="92"/>
      <c r="W108" s="92"/>
      <c r="X108" s="84" t="s">
        <v>76</v>
      </c>
      <c r="Y108" s="84"/>
      <c r="Z108" s="84"/>
      <c r="AA108" s="84"/>
      <c r="AB108" s="84"/>
    </row>
    <row r="109" spans="1:28" ht="9" customHeight="1" x14ac:dyDescent="0.15"/>
    <row r="110" spans="1:28" ht="18" customHeight="1" x14ac:dyDescent="0.15">
      <c r="A110" s="6" t="s">
        <v>169</v>
      </c>
      <c r="B110" s="2" t="s">
        <v>140</v>
      </c>
    </row>
    <row r="111" spans="1:28" ht="18" customHeight="1" x14ac:dyDescent="0.15">
      <c r="D111" s="42" t="s">
        <v>141</v>
      </c>
      <c r="E111" s="43"/>
      <c r="F111" s="43"/>
      <c r="G111" s="43"/>
      <c r="H111" s="43"/>
      <c r="I111" s="44"/>
      <c r="J111" s="42" t="s">
        <v>142</v>
      </c>
      <c r="K111" s="43"/>
      <c r="L111" s="43"/>
      <c r="M111" s="43"/>
      <c r="N111" s="43"/>
      <c r="O111" s="43"/>
      <c r="P111" s="43"/>
      <c r="Q111" s="43"/>
      <c r="R111" s="43"/>
      <c r="S111" s="44"/>
      <c r="T111" s="43" t="s">
        <v>143</v>
      </c>
      <c r="U111" s="43"/>
      <c r="V111" s="43"/>
      <c r="W111" s="43"/>
      <c r="X111" s="43"/>
      <c r="Y111" s="43"/>
      <c r="Z111" s="44"/>
    </row>
    <row r="112" spans="1:28" ht="18" customHeight="1" x14ac:dyDescent="0.15">
      <c r="D112" s="35" t="s">
        <v>144</v>
      </c>
      <c r="E112" s="36" t="s">
        <v>145</v>
      </c>
      <c r="F112" s="36"/>
      <c r="G112" s="36"/>
      <c r="H112" s="36"/>
      <c r="I112" s="37"/>
      <c r="J112" s="38"/>
      <c r="K112" s="36"/>
      <c r="L112" s="36"/>
      <c r="M112" s="36"/>
      <c r="N112" s="36"/>
      <c r="O112" s="36"/>
      <c r="P112" s="36"/>
      <c r="Q112" s="36"/>
      <c r="R112" s="36"/>
      <c r="S112" s="37"/>
      <c r="T112" s="36"/>
      <c r="U112" s="36"/>
      <c r="V112" s="39" t="s">
        <v>101</v>
      </c>
      <c r="W112" s="41" t="str">
        <f>IF(K16&lt;6000,U68,U70)</f>
        <v xml:space="preserve"> </v>
      </c>
      <c r="X112" s="41"/>
      <c r="Y112" s="41"/>
      <c r="Z112" s="37" t="s">
        <v>76</v>
      </c>
    </row>
    <row r="113" spans="4:26" ht="18" customHeight="1" x14ac:dyDescent="0.15">
      <c r="D113" s="35" t="s">
        <v>146</v>
      </c>
      <c r="E113" s="36" t="s">
        <v>147</v>
      </c>
      <c r="F113" s="36"/>
      <c r="G113" s="36"/>
      <c r="H113" s="36"/>
      <c r="I113" s="37"/>
      <c r="J113" s="38"/>
      <c r="K113" s="36"/>
      <c r="L113" s="36"/>
      <c r="M113" s="36"/>
      <c r="N113" s="36"/>
      <c r="O113" s="36"/>
      <c r="P113" s="36"/>
      <c r="Q113" s="36"/>
      <c r="R113" s="36"/>
      <c r="S113" s="37"/>
      <c r="T113" s="36"/>
      <c r="U113" s="36"/>
      <c r="V113" s="36"/>
      <c r="W113" s="41" t="str">
        <f>IF(W112=" "," ",ROUNDUP(W112*0.3,0))</f>
        <v xml:space="preserve"> </v>
      </c>
      <c r="X113" s="41"/>
      <c r="Y113" s="41"/>
      <c r="Z113" s="37" t="s">
        <v>76</v>
      </c>
    </row>
    <row r="114" spans="4:26" ht="18" customHeight="1" x14ac:dyDescent="0.15">
      <c r="D114" s="35" t="s">
        <v>148</v>
      </c>
      <c r="E114" s="36" t="s">
        <v>149</v>
      </c>
      <c r="F114" s="36"/>
      <c r="G114" s="36"/>
      <c r="H114" s="36"/>
      <c r="I114" s="37"/>
      <c r="J114" s="38" t="s">
        <v>150</v>
      </c>
      <c r="K114" s="36"/>
      <c r="L114" s="36"/>
      <c r="M114" s="36"/>
      <c r="N114" s="36"/>
      <c r="O114" s="36"/>
      <c r="P114" s="36"/>
      <c r="Q114" s="36"/>
      <c r="R114" s="36"/>
      <c r="S114" s="37"/>
      <c r="T114" s="36"/>
      <c r="U114" s="36"/>
      <c r="V114" s="40" t="s">
        <v>151</v>
      </c>
      <c r="W114" s="94" t="str">
        <f>IF(W112&lt;=200,U106,U108)</f>
        <v xml:space="preserve"> </v>
      </c>
      <c r="X114" s="94"/>
      <c r="Y114" s="94"/>
      <c r="Z114" s="37" t="s">
        <v>76</v>
      </c>
    </row>
    <row r="115" spans="4:26" ht="18" customHeight="1" x14ac:dyDescent="0.15">
      <c r="D115" s="35" t="s">
        <v>152</v>
      </c>
      <c r="E115" s="36" t="s">
        <v>153</v>
      </c>
      <c r="F115" s="36"/>
      <c r="G115" s="36"/>
      <c r="H115" s="36"/>
      <c r="I115" s="37"/>
      <c r="J115" s="38" t="s">
        <v>154</v>
      </c>
      <c r="K115" s="36"/>
      <c r="L115" s="36"/>
      <c r="M115" s="36"/>
      <c r="N115" s="36"/>
      <c r="O115" s="36"/>
      <c r="P115" s="36"/>
      <c r="Q115" s="36"/>
      <c r="R115" s="36"/>
      <c r="S115" s="37"/>
      <c r="T115" s="36"/>
      <c r="U115" s="36"/>
      <c r="V115" s="40" t="s">
        <v>155</v>
      </c>
      <c r="W115" s="41" t="str">
        <f>IF(W112=" "," ",W113-W114)</f>
        <v xml:space="preserve"> </v>
      </c>
      <c r="X115" s="41"/>
      <c r="Y115" s="41"/>
      <c r="Z115" s="37" t="s">
        <v>76</v>
      </c>
    </row>
    <row r="116" spans="4:26" ht="18" customHeight="1" x14ac:dyDescent="0.15">
      <c r="D116" s="35" t="s">
        <v>156</v>
      </c>
      <c r="E116" s="36" t="s">
        <v>157</v>
      </c>
      <c r="F116" s="36"/>
      <c r="G116" s="36"/>
      <c r="H116" s="36"/>
      <c r="I116" s="37"/>
      <c r="J116" s="38" t="s">
        <v>158</v>
      </c>
      <c r="K116" s="36"/>
      <c r="L116" s="36"/>
      <c r="M116" s="36"/>
      <c r="N116" s="36"/>
      <c r="O116" s="36"/>
      <c r="P116" s="36"/>
      <c r="Q116" s="36"/>
      <c r="R116" s="36"/>
      <c r="S116" s="37"/>
      <c r="T116" s="36"/>
      <c r="U116" s="36"/>
      <c r="V116" s="40" t="s">
        <v>159</v>
      </c>
      <c r="W116" s="41" t="str">
        <f>IF(W112=" "," ",IF(F77&gt;2000,IF(F77&lt;6000,U100,U102),0))</f>
        <v xml:space="preserve"> </v>
      </c>
      <c r="X116" s="41"/>
      <c r="Y116" s="41"/>
      <c r="Z116" s="37" t="s">
        <v>76</v>
      </c>
    </row>
    <row r="117" spans="4:26" ht="18" customHeight="1" x14ac:dyDescent="0.15">
      <c r="D117" s="35" t="s">
        <v>160</v>
      </c>
      <c r="E117" s="36" t="s">
        <v>161</v>
      </c>
      <c r="F117" s="36"/>
      <c r="G117" s="36"/>
      <c r="H117" s="36"/>
      <c r="I117" s="37"/>
      <c r="J117" s="38" t="s">
        <v>162</v>
      </c>
      <c r="K117" s="36"/>
      <c r="L117" s="36"/>
      <c r="M117" s="36"/>
      <c r="N117" s="36"/>
      <c r="O117" s="36"/>
      <c r="P117" s="36"/>
      <c r="Q117" s="36"/>
      <c r="R117" s="36"/>
      <c r="S117" s="37"/>
      <c r="T117" s="36"/>
      <c r="U117" s="36"/>
      <c r="V117" s="40" t="s">
        <v>163</v>
      </c>
      <c r="W117" s="41" t="str">
        <f>IF(W112=" "," ",W112-W113-W116)</f>
        <v xml:space="preserve"> </v>
      </c>
      <c r="X117" s="41"/>
      <c r="Y117" s="41"/>
      <c r="Z117" s="37" t="s">
        <v>76</v>
      </c>
    </row>
    <row r="118" spans="4:26" ht="18" customHeight="1" x14ac:dyDescent="0.15"/>
    <row r="119" spans="4:26" ht="18" customHeight="1" x14ac:dyDescent="0.15"/>
    <row r="120" spans="4:26" ht="18" customHeight="1" x14ac:dyDescent="0.15"/>
    <row r="121" spans="4:26" ht="18" customHeight="1" x14ac:dyDescent="0.15"/>
    <row r="122" spans="4:26" ht="18" customHeight="1" x14ac:dyDescent="0.15"/>
    <row r="123" spans="4:26" ht="18" customHeight="1" x14ac:dyDescent="0.15"/>
    <row r="124" spans="4:26" ht="18" customHeight="1" x14ac:dyDescent="0.15"/>
    <row r="125" spans="4:26" ht="18" customHeight="1" x14ac:dyDescent="0.15"/>
    <row r="126" spans="4:26" ht="18" customHeight="1" x14ac:dyDescent="0.15"/>
    <row r="127" spans="4:26" ht="18" customHeight="1" x14ac:dyDescent="0.15"/>
    <row r="128" spans="4:26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</sheetData>
  <mergeCells count="173">
    <mergeCell ref="R104:AB104"/>
    <mergeCell ref="F106:H106"/>
    <mergeCell ref="K106:M106"/>
    <mergeCell ref="O106:Q106"/>
    <mergeCell ref="U106:W106"/>
    <mergeCell ref="F108:H108"/>
    <mergeCell ref="K108:L108"/>
    <mergeCell ref="P108:Q108"/>
    <mergeCell ref="U108:W108"/>
    <mergeCell ref="Y1:AB1"/>
    <mergeCell ref="C6:D6"/>
    <mergeCell ref="E6:O6"/>
    <mergeCell ref="P6:T6"/>
    <mergeCell ref="U6:Z6"/>
    <mergeCell ref="C7:I7"/>
    <mergeCell ref="J7:O7"/>
    <mergeCell ref="P7:T7"/>
    <mergeCell ref="U7:Z7"/>
    <mergeCell ref="K10:N10"/>
    <mergeCell ref="P10:S10"/>
    <mergeCell ref="V10:Y10"/>
    <mergeCell ref="E11:I11"/>
    <mergeCell ref="K11:N11"/>
    <mergeCell ref="P11:S11"/>
    <mergeCell ref="V11:Y11"/>
    <mergeCell ref="C8:D11"/>
    <mergeCell ref="E8:I8"/>
    <mergeCell ref="K8:N8"/>
    <mergeCell ref="P8:S8"/>
    <mergeCell ref="V8:Y8"/>
    <mergeCell ref="E9:I9"/>
    <mergeCell ref="K9:N9"/>
    <mergeCell ref="P9:S9"/>
    <mergeCell ref="V9:Y9"/>
    <mergeCell ref="E10:I10"/>
    <mergeCell ref="C12:D13"/>
    <mergeCell ref="E12:I12"/>
    <mergeCell ref="K12:N12"/>
    <mergeCell ref="P12:S12"/>
    <mergeCell ref="V12:Y12"/>
    <mergeCell ref="E13:I13"/>
    <mergeCell ref="K13:N13"/>
    <mergeCell ref="P13:S13"/>
    <mergeCell ref="V13:Y13"/>
    <mergeCell ref="C14:I14"/>
    <mergeCell ref="K14:N14"/>
    <mergeCell ref="P14:S14"/>
    <mergeCell ref="C36:L36"/>
    <mergeCell ref="N36:Q36"/>
    <mergeCell ref="V36:Y36"/>
    <mergeCell ref="V14:Y14"/>
    <mergeCell ref="C15:I15"/>
    <mergeCell ref="K15:N15"/>
    <mergeCell ref="P15:Z18"/>
    <mergeCell ref="C16:I16"/>
    <mergeCell ref="K16:N16"/>
    <mergeCell ref="C17:I17"/>
    <mergeCell ref="K17:N17"/>
    <mergeCell ref="C18:I18"/>
    <mergeCell ref="K18:N18"/>
    <mergeCell ref="C37:L37"/>
    <mergeCell ref="N37:Q37"/>
    <mergeCell ref="V37:Y37"/>
    <mergeCell ref="T26:V26"/>
    <mergeCell ref="E27:G27"/>
    <mergeCell ref="J27:L27"/>
    <mergeCell ref="O27:P27"/>
    <mergeCell ref="T27:W27"/>
    <mergeCell ref="C35:L35"/>
    <mergeCell ref="M35:T35"/>
    <mergeCell ref="U35:Z35"/>
    <mergeCell ref="E26:G26"/>
    <mergeCell ref="J26:L26"/>
    <mergeCell ref="O26:Q26"/>
    <mergeCell ref="C40:K40"/>
    <mergeCell ref="N40:Q40"/>
    <mergeCell ref="V40:Y40"/>
    <mergeCell ref="C45:I45"/>
    <mergeCell ref="J45:O45"/>
    <mergeCell ref="P45:T45"/>
    <mergeCell ref="U45:Z45"/>
    <mergeCell ref="C38:L38"/>
    <mergeCell ref="N38:Q38"/>
    <mergeCell ref="V38:Y38"/>
    <mergeCell ref="C39:L39"/>
    <mergeCell ref="N39:Q39"/>
    <mergeCell ref="V39:Y39"/>
    <mergeCell ref="K48:N48"/>
    <mergeCell ref="P48:T48"/>
    <mergeCell ref="V48:Y48"/>
    <mergeCell ref="E49:I49"/>
    <mergeCell ref="K49:N49"/>
    <mergeCell ref="P49:T49"/>
    <mergeCell ref="V49:Y49"/>
    <mergeCell ref="C46:D49"/>
    <mergeCell ref="E46:I46"/>
    <mergeCell ref="K46:N46"/>
    <mergeCell ref="P46:T46"/>
    <mergeCell ref="V46:Y46"/>
    <mergeCell ref="E47:I47"/>
    <mergeCell ref="K47:N47"/>
    <mergeCell ref="P47:T47"/>
    <mergeCell ref="V47:Y47"/>
    <mergeCell ref="E48:I48"/>
    <mergeCell ref="Z62:AB62"/>
    <mergeCell ref="M63:O63"/>
    <mergeCell ref="T63:V63"/>
    <mergeCell ref="C50:D51"/>
    <mergeCell ref="E50:I50"/>
    <mergeCell ref="K50:N50"/>
    <mergeCell ref="P50:T50"/>
    <mergeCell ref="V50:Y50"/>
    <mergeCell ref="E51:I51"/>
    <mergeCell ref="K51:N51"/>
    <mergeCell ref="P51:T51"/>
    <mergeCell ref="V51:Y51"/>
    <mergeCell ref="F68:H68"/>
    <mergeCell ref="K68:M68"/>
    <mergeCell ref="O68:Q68"/>
    <mergeCell ref="U68:W68"/>
    <mergeCell ref="F70:H70"/>
    <mergeCell ref="U70:W70"/>
    <mergeCell ref="C52:I52"/>
    <mergeCell ref="K52:N52"/>
    <mergeCell ref="V52:Y52"/>
    <mergeCell ref="P61:R61"/>
    <mergeCell ref="F76:H76"/>
    <mergeCell ref="K76:M76"/>
    <mergeCell ref="P76:R76"/>
    <mergeCell ref="U76:W76"/>
    <mergeCell ref="F77:I77"/>
    <mergeCell ref="C82:I82"/>
    <mergeCell ref="J82:O82"/>
    <mergeCell ref="P82:T82"/>
    <mergeCell ref="U82:Z82"/>
    <mergeCell ref="K85:N85"/>
    <mergeCell ref="P85:T85"/>
    <mergeCell ref="V85:Y85"/>
    <mergeCell ref="E86:I86"/>
    <mergeCell ref="K86:N86"/>
    <mergeCell ref="P86:T86"/>
    <mergeCell ref="V86:Y86"/>
    <mergeCell ref="C83:D86"/>
    <mergeCell ref="E83:I83"/>
    <mergeCell ref="K83:N83"/>
    <mergeCell ref="P83:T83"/>
    <mergeCell ref="V83:Y83"/>
    <mergeCell ref="E84:I84"/>
    <mergeCell ref="K84:N84"/>
    <mergeCell ref="P84:T84"/>
    <mergeCell ref="V84:Y84"/>
    <mergeCell ref="E85:I85"/>
    <mergeCell ref="F100:H100"/>
    <mergeCell ref="K100:M100"/>
    <mergeCell ref="O100:Q100"/>
    <mergeCell ref="U100:W100"/>
    <mergeCell ref="F102:H102"/>
    <mergeCell ref="U102:W102"/>
    <mergeCell ref="C87:I87"/>
    <mergeCell ref="K87:N87"/>
    <mergeCell ref="V87:Y87"/>
    <mergeCell ref="M94:O94"/>
    <mergeCell ref="V95:X95"/>
    <mergeCell ref="L96:N96"/>
    <mergeCell ref="W115:Y115"/>
    <mergeCell ref="W116:Y116"/>
    <mergeCell ref="W117:Y117"/>
    <mergeCell ref="D111:I111"/>
    <mergeCell ref="J111:S111"/>
    <mergeCell ref="T111:Z111"/>
    <mergeCell ref="W112:Y112"/>
    <mergeCell ref="W113:Y113"/>
    <mergeCell ref="W114:Y114"/>
  </mergeCells>
  <phoneticPr fontId="2"/>
  <pageMargins left="0.98425196850393704" right="0.39370078740157483" top="0.59055118110236227" bottom="0.39370078740157483" header="0.51181102362204722" footer="0.51181102362204722"/>
  <pageSetup paperSize="9" scale="83" orientation="portrait" r:id="rId1"/>
  <headerFooter alignWithMargins="0"/>
  <rowBreaks count="1" manualBreakCount="1">
    <brk id="54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商業・近商地域</vt:lpstr>
      <vt:lpstr>商業・近商地域!Print_Area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高橋　誉矩</cp:lastModifiedBy>
  <cp:lastPrinted>2026-02-19T00:09:55Z</cp:lastPrinted>
  <dcterms:created xsi:type="dcterms:W3CDTF">2022-05-13T10:40:59Z</dcterms:created>
  <dcterms:modified xsi:type="dcterms:W3CDTF">2026-03-18T05:03:39Z</dcterms:modified>
</cp:coreProperties>
</file>